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503AE087-B404-4ED5-AA3B-4B8101841497}" xr6:coauthVersionLast="47" xr6:coauthVersionMax="47" xr10:uidLastSave="{00000000-0000-0000-0000-000000000000}"/>
  <bookViews>
    <workbookView xWindow="2070" yWindow="2115" windowWidth="36330" windowHeight="19485" firstSheet="1" activeTab="1"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Poultry" sheetId="82" r:id="rId6"/>
    <sheet name="Input - Livestock sales" sheetId="81" r:id="rId7"/>
    <sheet name="Input - Poultry purchases" sheetId="111" r:id="rId8"/>
    <sheet name="Input - Fuel" sheetId="95" r:id="rId9"/>
    <sheet name="Input - Electricity" sheetId="92" r:id="rId10"/>
    <sheet name="Input - Common farm inputs" sheetId="112" r:id="rId11"/>
    <sheet name="Input - Livestock farm Inputs" sheetId="113" r:id="rId12"/>
    <sheet name="Input - Freight" sheetId="114" r:id="rId13"/>
    <sheet name="Input - Solid waste" sheetId="108" r:id="rId14"/>
    <sheet name="Input - Manure sent off-site" sheetId="115" r:id="rId15"/>
    <sheet name="Input - Data quality" sheetId="78" r:id="rId16"/>
    <sheet name="4.6.1.1-2 Methane" sheetId="83" r:id="rId17"/>
    <sheet name="4.6.1.3-4 Direct N20" sheetId="84" r:id="rId18"/>
    <sheet name="4.6.1.5-6 Atmos Dep" sheetId="85" r:id="rId19"/>
    <sheet name="4.6.1.7-8 Leaching and runoff" sheetId="86" r:id="rId20"/>
    <sheet name="4.6.1.9 Manure applied to soils" sheetId="87" r:id="rId21"/>
    <sheet name="4.6.1.10-11 Soil direct N2O" sheetId="88" r:id="rId22"/>
    <sheet name="4.6.1.12-13 Soil atmos dep" sheetId="89" r:id="rId23"/>
    <sheet name="4.6.1.14-15 Soil leach runoff" sheetId="90" r:id="rId24"/>
    <sheet name="8.1.1.1-2 Transport fuel" sheetId="96" r:id="rId25"/>
    <sheet name="8.2.1.1-2 Stationary fuel" sheetId="97" r:id="rId26"/>
    <sheet name="10.1.1-2 Solid waste treatment" sheetId="109" r:id="rId27"/>
    <sheet name="14.1.1-2 Purchased electricity" sheetId="93" r:id="rId28"/>
    <sheet name="15 Scope 3" sheetId="116" r:id="rId29"/>
    <sheet name="Calcs - Manure sent off-site" sheetId="117" r:id="rId30"/>
    <sheet name="Constants - Poultry" sheetId="91" r:id="rId31"/>
    <sheet name="Constants - Common livestock" sheetId="119" r:id="rId32"/>
    <sheet name="Constants - Electricity" sheetId="94" r:id="rId33"/>
    <sheet name="Constants - Fertiliser" sheetId="107" r:id="rId34"/>
    <sheet name="Constants - Fuel" sheetId="98" r:id="rId35"/>
    <sheet name="Constants - Scope 3" sheetId="118" r:id="rId36"/>
    <sheet name="Constants - Solid Waste" sheetId="110" r:id="rId37"/>
    <sheet name="Constants - Common" sheetId="79" r:id="rId38"/>
    <sheet name="Input - Fert Prod System" sheetId="99" r:id="rId39"/>
    <sheet name="Input - Fertiliser" sheetId="100" r:id="rId40"/>
    <sheet name="5.1.1.1-2 Inorganic fert N2O" sheetId="101" r:id="rId41"/>
    <sheet name="5.1.1.3-4 Inorganic fert CO2" sheetId="102" r:id="rId42"/>
    <sheet name="5.2.1.1-2 Organic Fert N2O" sheetId="103" r:id="rId43"/>
    <sheet name="5.3.1.1-2 Lime CO2" sheetId="104" r:id="rId44"/>
    <sheet name="5.4.1.1-4 Atmos deposition" sheetId="105" r:id="rId45"/>
    <sheet name="5.5.1.1-2 Leaching and runoff" sheetId="106" r:id="rId46"/>
  </sheets>
  <definedNames>
    <definedName name="_Toc225350871" localSheetId="44">'5.4.1.1-4 Atmos deposition'!$C$1</definedName>
    <definedName name="_Toc225350871" localSheetId="45">'5.5.1.1-2 Leaching and runoff'!$C$1</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44">_xlfn.LAMBDA(_xlpm.Month,_xlpm.LivestockClass, IFERROR(SUM(_xlfn._xlws.FILTER(#REF!, (#REF! &gt;= EOMONTH(_xlpm.Month, -1) + 1) * (#REF! &lt;= EOMONTH(_xlpm.Month, 0)) * (#REF! = _xlpm.LivestockClass))), 0))</definedName>
    <definedName name="CommonLivestock_InputFunctions.LivestockMovement_HeadAddedDuringMonth" localSheetId="45">_xlfn.LAMBDA(_xlpm.Month,_xlpm.LivestockClass, IFERROR(SUM(_xlfn._xlws.FILTER(#REF!, (#REF! &gt;= EOMONTH(_xlpm.Month, -1) + 1) * (#REF! &lt;= EOMONTH(_xlpm.Month, 0)) * (#REF! = _xlpm.LivestockClass))), 0))</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44">_xlfn.LAMBDA(_xlpm.Month,_xlpm.LivestockClass, IFERROR(SUM(_xlfn._xlws.FILTER(#REF!, (#REF! &gt;= EOMONTH(_xlpm.Month, -1) + 1) * (#REF! &lt;= EOMONTH(_xlpm.Month, 0)) * (#REF! = _xlpm.LivestockClass))), 0))</definedName>
    <definedName name="CommonLivestock_InputFunctions.LivestockMovement_HeadLostDuringMonth" localSheetId="45">_xlfn.LAMBDA(_xlpm.Month,_xlpm.LivestockClass, IFERROR(SUM(_xlfn._xlws.FILTER(#REF!, (#REF! &gt;= EOMONTH(_xlpm.Month, -1) + 1) * (#REF! &lt;= EOMONTH(_xlpm.Month, 0)) * (#REF! = _xlpm.LivestockClass))), 0))</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44">_xlfn.LAMBDA(_xlpm.Month,_xlpm.LivestockClass, IFERROR(SUM(_xlfn._xlws.FILTER(#REF!, (#REF! &gt;= EOMONTH(_xlpm.Month, -1) + 1) * (#REF! &lt;= EOMONTH(_xlpm.Month, 0)) * (#REF! = _xlpm.LivestockClass))), 0))</definedName>
    <definedName name="CommonLivestock_InputFunctions.LivestockMovement_TotalLiveweightAddedDuringMonth" localSheetId="45">_xlfn.LAMBDA(_xlpm.Month,_xlpm.LivestockClass, IFERROR(SUM(_xlfn._xlws.FILTER(#REF!, (#REF! &gt;= EOMONTH(_xlpm.Month, -1) + 1) * (#REF! &lt;= EOMONTH(_xlpm.Month, 0)) * (#REF! =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44">_xlfn.LAMBDA(_xlpm.Month,_xlpm.LivestockClass, IFERROR(SUM(_xlfn._xlws.FILTER(#REF!, (#REF! &gt;= EOMONTH(_xlpm.Month, -1) + 1) * (#REF! &lt;= EOMONTH(_xlpm.Month, 0)) * (#REF! = _xlpm.LivestockClass))), 0))</definedName>
    <definedName name="CommonLivestock_InputFunctions.LivestockMovement_TotalLiveweightGrownDuringMonth" localSheetId="45">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_k">'4.6.1.3-4 Direct N20'!$D$81:$G$82</definedName>
    <definedName name="M1_Table_CP_j_k">'4.6.1.3-4 Direct N20'!$D$24:$G$25</definedName>
    <definedName name="M1_Table_DMD_j_k">'4.6.1.1-2 Methane'!$D$24:$G$25</definedName>
    <definedName name="M1_Table_E_CO2">'5.1.1.3-4 Inorganic fert CO2'!$D$57:$E$76</definedName>
    <definedName name="M1_Table_E_N2O">'5.1.1.1-2 Inorganic fert N2O'!$D$59:$E$78</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FertApplications">'5.1.1.1-2 Inorganic fert N2O'!$M$10:$W$25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Enterprise'!$E$69</definedName>
    <definedName name="Result_EmissionsForWholeProductionCycle_Gross_Method1">'Input - Enterprise'!$E$56</definedName>
    <definedName name="Result_EmissionsForWholeProductionCycle_Gross_Method2">'Input - Enterprise'!$F$56</definedName>
    <definedName name="Result_EmissionsForWholeProductionCycle_Method1">'Input - Enterprise'!$E$56</definedName>
    <definedName name="Result_EmissionsForWholeProductionCycle_Method2">'Input - Enterprise'!$F$56</definedName>
    <definedName name="Result_EmissionsForWholeProductionCycle_Net_Method1">'Input - Enterprise'!$E$80</definedName>
    <definedName name="Result_EmissionsForWholeProductionCycle_Net_Method2">'Input - Enterprise'!$F$80</definedName>
    <definedName name="Result_Enterprise_Gross_Method1">'Results - Activity period'!$E$58</definedName>
    <definedName name="Result_Enterprise_Gross_Method2">'Results - Activity period'!$F$58</definedName>
    <definedName name="Result_Enterprise_Net_Method1">'Results - Activity period'!$E$59</definedName>
    <definedName name="Result_Enterprise_Net_Method2">'Results - Activity period'!$F$59</definedName>
    <definedName name="Result_Enterprise_Removals">'Results - Activity period'!$E$52</definedName>
    <definedName name="Result_Enterprise_Scope1_Method1">'Results - Activity period'!$H$23</definedName>
    <definedName name="Result_Enterprise_Scope1_Method2">'Results - Activity period'!$I$23</definedName>
    <definedName name="Result_Enterprise_Scope2_Method1">'Results - Activity period'!$H$30</definedName>
    <definedName name="Result_Enterprise_Scope2_Method2">'Results - Activity period'!$I$30</definedName>
    <definedName name="Result_Enterprise_Scope3_Method1">'Results - Activity period'!$H$47</definedName>
    <definedName name="Result_Enterprise_Scope3_Method2">'Results - Activity period'!$I$47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_xlfn.LAMBDA(_xlfn.MAKEARRAY(5, 2,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MN_j_f">'5.1.1.1-2 Inorganic fert N2O'!$D$18:$G$37</definedName>
    <definedName name="Table_MNSoil_j_f">'5.2.1.1-2 Organic Fert N2O'!$D$19:$I$22</definedName>
    <definedName name="Table_MU_j_f">'5.1.1.3-4 Inorganic fert CO2'!$D$18:$G$37</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BirdsSold">'Input - Enterprise'!$E$22</definedName>
    <definedName name="X_Cell_Enterprise_EggsProduced">'Input - Enterprise'!$E$23</definedName>
    <definedName name="X_Cell_Enterprise_ManureProduced">'Input - Enterprise'!$E$24</definedName>
    <definedName name="X_Cell_Enterprise_PercentIncomeFromBirdsSold">'Input - Enterprise'!$E$28</definedName>
    <definedName name="X_Cell_Enterprise_PercentIncomeFromEggsSold">'Input - Enterprise'!$E$29</definedName>
    <definedName name="X_Cell_Enterprise_PercentIncomeFromManureSold">'Input - Enterprise'!$E$30</definedName>
    <definedName name="X_Cell_Enterprise_PercentManureFertiliserOwnFarm">'Input - Enterprise'!$E$26</definedName>
    <definedName name="X_Cell_Enterprise_PercentManureSold">'Input - Enterprise'!$E$25</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oultry_ManureAppliedIrrigationMethod">'Input - Poultry'!$E$60</definedName>
    <definedName name="X_Cell_Poultry_ManureAppliedProductionSystem">'Input - Poultry'!$E$59</definedName>
    <definedName name="X_Cell_Poultry_ProductionSystem">'Input - Poultry'!$E$27</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 name="X_Table_Result_ActivityPeriodEmissions_RowsToCols">'Results - Activity period'!$D$29:$F$34</definedName>
    <definedName name="X_Table_Result_CarbonRemovalsFromPlantings_RowsToCols">'Results - Activity period'!$D$39:$E$45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8" i="106" l="1"/>
  <c r="A68" i="106"/>
  <c r="A57" i="106"/>
  <c r="A56" i="106"/>
  <c r="A55" i="106"/>
  <c r="A54" i="106"/>
  <c r="A53" i="106"/>
  <c r="A52" i="106"/>
  <c r="A51" i="106"/>
  <c r="A50" i="106"/>
  <c r="A46" i="106"/>
  <c r="A45" i="106"/>
  <c r="A44" i="106"/>
  <c r="A43" i="106"/>
  <c r="A42" i="106"/>
  <c r="A41" i="106"/>
  <c r="A40" i="106"/>
  <c r="A39" i="106"/>
  <c r="A38" i="106"/>
  <c r="A37" i="106"/>
  <c r="A36" i="106"/>
  <c r="A35" i="106"/>
  <c r="A34" i="106"/>
  <c r="A33" i="106"/>
  <c r="A32" i="106"/>
  <c r="A31" i="106"/>
  <c r="A30" i="106"/>
  <c r="A29" i="106"/>
  <c r="A28" i="106"/>
  <c r="A27" i="106"/>
  <c r="A23" i="106"/>
  <c r="A22" i="106"/>
  <c r="A21" i="106"/>
  <c r="A20" i="106"/>
  <c r="A19" i="106"/>
  <c r="A18" i="106"/>
  <c r="A17" i="106"/>
  <c r="A16" i="106"/>
  <c r="A15" i="106"/>
  <c r="A14" i="106"/>
  <c r="A13" i="106"/>
  <c r="A12" i="106"/>
  <c r="A11" i="106"/>
  <c r="A10" i="106"/>
  <c r="A9" i="106"/>
  <c r="A5" i="106"/>
  <c r="A4" i="106"/>
  <c r="A3" i="106"/>
  <c r="A128" i="105"/>
  <c r="A98" i="105"/>
  <c r="A68" i="105"/>
  <c r="A57" i="105"/>
  <c r="A56" i="105"/>
  <c r="A55" i="105"/>
  <c r="A54" i="105"/>
  <c r="A53" i="105"/>
  <c r="A52" i="105"/>
  <c r="A51" i="105"/>
  <c r="A50" i="105"/>
  <c r="A46" i="105"/>
  <c r="A45" i="105"/>
  <c r="A44" i="105"/>
  <c r="A43" i="105"/>
  <c r="A42" i="105"/>
  <c r="A41" i="105"/>
  <c r="A40" i="105"/>
  <c r="A39" i="105"/>
  <c r="A38" i="105"/>
  <c r="A37" i="105"/>
  <c r="A36" i="105"/>
  <c r="A35" i="105"/>
  <c r="A34" i="105"/>
  <c r="A33" i="105"/>
  <c r="A32" i="105"/>
  <c r="A31" i="105"/>
  <c r="A30" i="105"/>
  <c r="A29" i="105"/>
  <c r="A28" i="105"/>
  <c r="A27" i="105"/>
  <c r="A23" i="105"/>
  <c r="A22" i="105"/>
  <c r="A21" i="105"/>
  <c r="A20" i="105"/>
  <c r="A19" i="105"/>
  <c r="A18" i="105"/>
  <c r="A17" i="105"/>
  <c r="A16" i="105"/>
  <c r="A15" i="105"/>
  <c r="A14" i="105"/>
  <c r="A13" i="105"/>
  <c r="A12" i="105"/>
  <c r="A11" i="105"/>
  <c r="A10" i="105"/>
  <c r="A9" i="105"/>
  <c r="A5" i="105"/>
  <c r="A4" i="105"/>
  <c r="A3" i="105"/>
  <c r="A57" i="104"/>
  <c r="A56" i="104"/>
  <c r="A55" i="104"/>
  <c r="A54" i="104"/>
  <c r="A53" i="104"/>
  <c r="A52" i="104"/>
  <c r="A51" i="104"/>
  <c r="A50" i="104"/>
  <c r="A46" i="104"/>
  <c r="A45" i="104"/>
  <c r="A44" i="104"/>
  <c r="A43" i="104"/>
  <c r="A42" i="104"/>
  <c r="A41" i="104"/>
  <c r="A40" i="104"/>
  <c r="A39" i="104"/>
  <c r="A38" i="104"/>
  <c r="A37" i="104"/>
  <c r="A36" i="104"/>
  <c r="A35" i="104"/>
  <c r="A34" i="104"/>
  <c r="A33" i="104"/>
  <c r="A32" i="104"/>
  <c r="A31" i="104"/>
  <c r="A30" i="104"/>
  <c r="A29" i="104"/>
  <c r="A28" i="104"/>
  <c r="A27" i="104"/>
  <c r="A23" i="104"/>
  <c r="A22" i="104"/>
  <c r="A21" i="104"/>
  <c r="A20" i="104"/>
  <c r="A19" i="104"/>
  <c r="A18" i="104"/>
  <c r="A17" i="104"/>
  <c r="A16" i="104"/>
  <c r="A15" i="104"/>
  <c r="A14" i="104"/>
  <c r="A13" i="104"/>
  <c r="A12" i="104"/>
  <c r="A11" i="104"/>
  <c r="A10" i="104"/>
  <c r="A9" i="104"/>
  <c r="A5" i="104"/>
  <c r="A4" i="104"/>
  <c r="A3" i="104"/>
  <c r="A57" i="103"/>
  <c r="A56" i="103"/>
  <c r="A55" i="103"/>
  <c r="A54" i="103"/>
  <c r="A53" i="103"/>
  <c r="A52" i="103"/>
  <c r="A51" i="103"/>
  <c r="A50" i="103"/>
  <c r="A46" i="103"/>
  <c r="A45" i="103"/>
  <c r="A44" i="103"/>
  <c r="A43" i="103"/>
  <c r="A42" i="103"/>
  <c r="A41" i="103"/>
  <c r="A40" i="103"/>
  <c r="A39" i="103"/>
  <c r="A38" i="103"/>
  <c r="A37" i="103"/>
  <c r="A36" i="103"/>
  <c r="A35" i="103"/>
  <c r="A34" i="103"/>
  <c r="A33" i="103"/>
  <c r="A32" i="103"/>
  <c r="A31" i="103"/>
  <c r="A30" i="103"/>
  <c r="A29" i="103"/>
  <c r="A28" i="103"/>
  <c r="A27" i="103"/>
  <c r="A23" i="103"/>
  <c r="A22" i="103"/>
  <c r="A21" i="103"/>
  <c r="A20" i="103"/>
  <c r="A19" i="103"/>
  <c r="A18" i="103"/>
  <c r="A17" i="103"/>
  <c r="A16" i="103"/>
  <c r="A15" i="103"/>
  <c r="A14" i="103"/>
  <c r="A13" i="103"/>
  <c r="A12" i="103"/>
  <c r="A11" i="103"/>
  <c r="A10" i="103"/>
  <c r="A9" i="103"/>
  <c r="A5" i="103"/>
  <c r="A4" i="103"/>
  <c r="A3" i="103"/>
  <c r="A68" i="102"/>
  <c r="A57" i="102"/>
  <c r="A56" i="102"/>
  <c r="A55" i="102"/>
  <c r="A54" i="102"/>
  <c r="A53" i="102"/>
  <c r="A52" i="102"/>
  <c r="A51" i="102"/>
  <c r="A50" i="102"/>
  <c r="A46" i="102"/>
  <c r="A45" i="102"/>
  <c r="A44" i="102"/>
  <c r="A43" i="102"/>
  <c r="A42" i="102"/>
  <c r="A41" i="102"/>
  <c r="A40" i="102"/>
  <c r="A39" i="102"/>
  <c r="A38" i="102"/>
  <c r="A37" i="102"/>
  <c r="A36" i="102"/>
  <c r="A35" i="102"/>
  <c r="A34" i="102"/>
  <c r="A33" i="102"/>
  <c r="A32" i="102"/>
  <c r="A31" i="102"/>
  <c r="A30" i="102"/>
  <c r="A29" i="102"/>
  <c r="A28" i="102"/>
  <c r="A27" i="102"/>
  <c r="A23" i="102"/>
  <c r="A22" i="102"/>
  <c r="A21" i="102"/>
  <c r="A20" i="102"/>
  <c r="A19" i="102"/>
  <c r="A18" i="102"/>
  <c r="A17" i="102"/>
  <c r="A16" i="102"/>
  <c r="A15" i="102"/>
  <c r="A14" i="102"/>
  <c r="A13" i="102"/>
  <c r="A12" i="102"/>
  <c r="A11" i="102"/>
  <c r="A10" i="102"/>
  <c r="A9" i="102"/>
  <c r="A5" i="102"/>
  <c r="A4" i="102"/>
  <c r="A3" i="102"/>
  <c r="A98" i="101"/>
  <c r="A68" i="101"/>
  <c r="A57" i="101"/>
  <c r="A56" i="101"/>
  <c r="A55" i="101"/>
  <c r="A54" i="101"/>
  <c r="A53" i="101"/>
  <c r="A52" i="101"/>
  <c r="A51" i="101"/>
  <c r="A50" i="101"/>
  <c r="A46" i="101"/>
  <c r="A45" i="101"/>
  <c r="A44" i="101"/>
  <c r="A43" i="101"/>
  <c r="A42" i="101"/>
  <c r="A41" i="101"/>
  <c r="A40" i="101"/>
  <c r="A39" i="101"/>
  <c r="A38" i="101"/>
  <c r="A37" i="101"/>
  <c r="A36" i="101"/>
  <c r="A35" i="101"/>
  <c r="A34" i="101"/>
  <c r="A33" i="101"/>
  <c r="A32" i="101"/>
  <c r="A31" i="101"/>
  <c r="A30" i="101"/>
  <c r="A29" i="101"/>
  <c r="A28" i="101"/>
  <c r="A27" i="101"/>
  <c r="A23" i="101"/>
  <c r="A22" i="101"/>
  <c r="A21" i="101"/>
  <c r="A20" i="101"/>
  <c r="A19" i="101"/>
  <c r="A18" i="101"/>
  <c r="A17" i="101"/>
  <c r="A16" i="101"/>
  <c r="A15" i="101"/>
  <c r="A14" i="101"/>
  <c r="A13" i="101"/>
  <c r="A12" i="101"/>
  <c r="A11" i="101"/>
  <c r="A10" i="101"/>
  <c r="A9" i="101"/>
  <c r="A5" i="101"/>
  <c r="A4" i="101"/>
  <c r="A3" i="101"/>
  <c r="A57" i="100"/>
  <c r="A56" i="100"/>
  <c r="A55" i="100"/>
  <c r="A54" i="100"/>
  <c r="A53" i="100"/>
  <c r="A52" i="100"/>
  <c r="A51" i="100"/>
  <c r="A50" i="100"/>
  <c r="A46" i="100"/>
  <c r="A45" i="100"/>
  <c r="A44" i="100"/>
  <c r="A43" i="100"/>
  <c r="A42" i="100"/>
  <c r="A41" i="100"/>
  <c r="A40" i="100"/>
  <c r="A39" i="100"/>
  <c r="A38" i="100"/>
  <c r="A37" i="100"/>
  <c r="A36" i="100"/>
  <c r="A35" i="100"/>
  <c r="A34" i="100"/>
  <c r="A33" i="100"/>
  <c r="A32" i="100"/>
  <c r="A31" i="100"/>
  <c r="A30" i="100"/>
  <c r="A29" i="100"/>
  <c r="A28" i="100"/>
  <c r="A27" i="100"/>
  <c r="A23" i="100"/>
  <c r="A22" i="100"/>
  <c r="A21" i="100"/>
  <c r="A20" i="100"/>
  <c r="A19" i="100"/>
  <c r="A18" i="100"/>
  <c r="A17" i="100"/>
  <c r="A16" i="100"/>
  <c r="A15" i="100"/>
  <c r="A14" i="100"/>
  <c r="A13" i="100"/>
  <c r="A12" i="100"/>
  <c r="A11" i="100"/>
  <c r="A10" i="100"/>
  <c r="A9" i="100"/>
  <c r="A5" i="100"/>
  <c r="A4" i="100"/>
  <c r="A3" i="100"/>
  <c r="A57" i="99"/>
  <c r="A56" i="99"/>
  <c r="A55" i="99"/>
  <c r="A54" i="99"/>
  <c r="A53" i="99"/>
  <c r="A52" i="99"/>
  <c r="A51" i="99"/>
  <c r="A50" i="99"/>
  <c r="A46" i="99"/>
  <c r="A45" i="99"/>
  <c r="A44" i="99"/>
  <c r="A43" i="99"/>
  <c r="A42" i="99"/>
  <c r="A41" i="99"/>
  <c r="A40" i="99"/>
  <c r="A39" i="99"/>
  <c r="A38" i="99"/>
  <c r="A37" i="99"/>
  <c r="A36" i="99"/>
  <c r="A35" i="99"/>
  <c r="A34" i="99"/>
  <c r="A33" i="99"/>
  <c r="A32" i="99"/>
  <c r="A31" i="99"/>
  <c r="A30" i="99"/>
  <c r="A29" i="99"/>
  <c r="A28" i="99"/>
  <c r="A27" i="99"/>
  <c r="A23" i="99"/>
  <c r="A22" i="99"/>
  <c r="A21" i="99"/>
  <c r="A20" i="99"/>
  <c r="A19" i="99"/>
  <c r="A18" i="99"/>
  <c r="A17" i="99"/>
  <c r="A16" i="99"/>
  <c r="A15" i="99"/>
  <c r="A14" i="99"/>
  <c r="A13" i="99"/>
  <c r="A12" i="99"/>
  <c r="A11" i="99"/>
  <c r="A10" i="99"/>
  <c r="A9" i="99"/>
  <c r="A5" i="99"/>
  <c r="A4" i="99"/>
  <c r="A3" i="99"/>
  <c r="A278" i="79"/>
  <c r="A248" i="79"/>
  <c r="A218" i="79"/>
  <c r="A188" i="79"/>
  <c r="A158" i="79"/>
  <c r="A128" i="79"/>
  <c r="A98" i="79"/>
  <c r="A68" i="79"/>
  <c r="A57" i="79"/>
  <c r="A56" i="79"/>
  <c r="A55" i="79"/>
  <c r="A54" i="79"/>
  <c r="A53" i="79"/>
  <c r="A52" i="79"/>
  <c r="A51" i="79"/>
  <c r="A50" i="79"/>
  <c r="A46" i="79"/>
  <c r="A45" i="79"/>
  <c r="A44" i="79"/>
  <c r="A43" i="79"/>
  <c r="A42" i="79"/>
  <c r="A41" i="79"/>
  <c r="A40" i="79"/>
  <c r="A39" i="79"/>
  <c r="A38" i="79"/>
  <c r="A37" i="79"/>
  <c r="A36" i="79"/>
  <c r="A35" i="79"/>
  <c r="A34" i="79"/>
  <c r="A33" i="79"/>
  <c r="A32" i="79"/>
  <c r="A31" i="79"/>
  <c r="A30" i="79"/>
  <c r="A29" i="79"/>
  <c r="A28" i="79"/>
  <c r="A27" i="79"/>
  <c r="A23" i="79"/>
  <c r="A22" i="79"/>
  <c r="A21" i="79"/>
  <c r="A20" i="79"/>
  <c r="A19" i="79"/>
  <c r="A18" i="79"/>
  <c r="A17" i="79"/>
  <c r="A16" i="79"/>
  <c r="A15" i="79"/>
  <c r="A14" i="79"/>
  <c r="A13" i="79"/>
  <c r="A12" i="79"/>
  <c r="A11" i="79"/>
  <c r="A10" i="79"/>
  <c r="A9" i="79"/>
  <c r="A5" i="79"/>
  <c r="A4" i="79"/>
  <c r="A3" i="79"/>
  <c r="A68" i="110"/>
  <c r="A57" i="110"/>
  <c r="A56" i="110"/>
  <c r="A55" i="110"/>
  <c r="A54" i="110"/>
  <c r="A53" i="110"/>
  <c r="A52" i="110"/>
  <c r="A51" i="110"/>
  <c r="A50" i="110"/>
  <c r="A46" i="110"/>
  <c r="A45" i="110"/>
  <c r="A44" i="110"/>
  <c r="A43" i="110"/>
  <c r="A42" i="110"/>
  <c r="A41" i="110"/>
  <c r="A40" i="110"/>
  <c r="A39" i="110"/>
  <c r="A38" i="110"/>
  <c r="A37" i="110"/>
  <c r="A36" i="110"/>
  <c r="A35" i="110"/>
  <c r="A34" i="110"/>
  <c r="A33" i="110"/>
  <c r="A32" i="110"/>
  <c r="A31" i="110"/>
  <c r="A30" i="110"/>
  <c r="A29" i="110"/>
  <c r="A28" i="110"/>
  <c r="A27" i="110"/>
  <c r="A23" i="110"/>
  <c r="A22" i="110"/>
  <c r="A21" i="110"/>
  <c r="A20" i="110"/>
  <c r="A19" i="110"/>
  <c r="A18" i="110"/>
  <c r="A17" i="110"/>
  <c r="A16" i="110"/>
  <c r="A15" i="110"/>
  <c r="A14" i="110"/>
  <c r="A13" i="110"/>
  <c r="A12" i="110"/>
  <c r="A11" i="110"/>
  <c r="A10" i="110"/>
  <c r="A9" i="110"/>
  <c r="A5" i="110"/>
  <c r="A4" i="110"/>
  <c r="A3" i="110"/>
  <c r="A218" i="118"/>
  <c r="A188" i="118"/>
  <c r="A158" i="118"/>
  <c r="A128" i="118"/>
  <c r="A98" i="118"/>
  <c r="A68" i="118"/>
  <c r="A57" i="118"/>
  <c r="A56" i="118"/>
  <c r="A55" i="118"/>
  <c r="A54" i="118"/>
  <c r="A53" i="118"/>
  <c r="A52" i="118"/>
  <c r="A51" i="118"/>
  <c r="A50" i="118"/>
  <c r="A46" i="118"/>
  <c r="A45" i="118"/>
  <c r="A44" i="118"/>
  <c r="A43" i="118"/>
  <c r="A42" i="118"/>
  <c r="A41" i="118"/>
  <c r="A40" i="118"/>
  <c r="A39" i="118"/>
  <c r="A38" i="118"/>
  <c r="A37" i="118"/>
  <c r="A36" i="118"/>
  <c r="A35" i="118"/>
  <c r="A34" i="118"/>
  <c r="A33" i="118"/>
  <c r="A32" i="118"/>
  <c r="A31" i="118"/>
  <c r="A30" i="118"/>
  <c r="A29" i="118"/>
  <c r="A28" i="118"/>
  <c r="A27" i="118"/>
  <c r="A23" i="118"/>
  <c r="A22" i="118"/>
  <c r="A21" i="118"/>
  <c r="A20" i="118"/>
  <c r="A19" i="118"/>
  <c r="A18" i="118"/>
  <c r="A17" i="118"/>
  <c r="A16" i="118"/>
  <c r="A15" i="118"/>
  <c r="A14" i="118"/>
  <c r="A13" i="118"/>
  <c r="A12" i="118"/>
  <c r="A11" i="118"/>
  <c r="A10" i="118"/>
  <c r="A9" i="118"/>
  <c r="A5" i="118"/>
  <c r="A4" i="118"/>
  <c r="A3" i="118"/>
  <c r="A158" i="98"/>
  <c r="A128" i="98"/>
  <c r="A98" i="98"/>
  <c r="A68" i="98"/>
  <c r="A57" i="98"/>
  <c r="A56" i="98"/>
  <c r="A55" i="98"/>
  <c r="A54" i="98"/>
  <c r="A53" i="98"/>
  <c r="A52" i="98"/>
  <c r="A51" i="98"/>
  <c r="A50" i="98"/>
  <c r="A46" i="98"/>
  <c r="A45" i="98"/>
  <c r="A44" i="98"/>
  <c r="A43" i="98"/>
  <c r="A42" i="98"/>
  <c r="A41" i="98"/>
  <c r="A40" i="98"/>
  <c r="A39" i="98"/>
  <c r="A38" i="98"/>
  <c r="A37" i="98"/>
  <c r="A36" i="98"/>
  <c r="A35" i="98"/>
  <c r="A34" i="98"/>
  <c r="A33" i="98"/>
  <c r="A32" i="98"/>
  <c r="A31" i="98"/>
  <c r="A30" i="98"/>
  <c r="A29" i="98"/>
  <c r="A28" i="98"/>
  <c r="A27" i="98"/>
  <c r="A23" i="98"/>
  <c r="A22" i="98"/>
  <c r="A21" i="98"/>
  <c r="A20" i="98"/>
  <c r="A19" i="98"/>
  <c r="A18" i="98"/>
  <c r="A17" i="98"/>
  <c r="A16" i="98"/>
  <c r="A15" i="98"/>
  <c r="A14" i="98"/>
  <c r="A13" i="98"/>
  <c r="A12" i="98"/>
  <c r="A11" i="98"/>
  <c r="A10" i="98"/>
  <c r="A9" i="98"/>
  <c r="A5" i="98"/>
  <c r="A4" i="98"/>
  <c r="A3" i="98"/>
  <c r="A218" i="107"/>
  <c r="A188" i="107"/>
  <c r="A158" i="107"/>
  <c r="A128" i="107"/>
  <c r="A98" i="107"/>
  <c r="A68" i="107"/>
  <c r="A57" i="107"/>
  <c r="A56" i="107"/>
  <c r="A55" i="107"/>
  <c r="A54" i="107"/>
  <c r="A53" i="107"/>
  <c r="A52" i="107"/>
  <c r="A51" i="107"/>
  <c r="A50" i="107"/>
  <c r="A46" i="107"/>
  <c r="A45" i="107"/>
  <c r="A44" i="107"/>
  <c r="A43" i="107"/>
  <c r="A42" i="107"/>
  <c r="A41" i="107"/>
  <c r="A40" i="107"/>
  <c r="A39" i="107"/>
  <c r="A38" i="107"/>
  <c r="A37" i="107"/>
  <c r="A36" i="107"/>
  <c r="A35" i="107"/>
  <c r="A34" i="107"/>
  <c r="A33" i="107"/>
  <c r="A32" i="107"/>
  <c r="A31" i="107"/>
  <c r="A30" i="107"/>
  <c r="A29" i="107"/>
  <c r="A28" i="107"/>
  <c r="A27" i="107"/>
  <c r="A23" i="107"/>
  <c r="A22" i="107"/>
  <c r="A21" i="107"/>
  <c r="A20" i="107"/>
  <c r="A19" i="107"/>
  <c r="A18" i="107"/>
  <c r="A17" i="107"/>
  <c r="A16" i="107"/>
  <c r="A15" i="107"/>
  <c r="A14" i="107"/>
  <c r="A13" i="107"/>
  <c r="A12" i="107"/>
  <c r="A11" i="107"/>
  <c r="A10" i="107"/>
  <c r="A9" i="107"/>
  <c r="A5" i="107"/>
  <c r="A4" i="107"/>
  <c r="A3" i="107"/>
  <c r="A57" i="94"/>
  <c r="A56" i="94"/>
  <c r="A55" i="94"/>
  <c r="A54" i="94"/>
  <c r="A53" i="94"/>
  <c r="A52" i="94"/>
  <c r="A51" i="94"/>
  <c r="A50" i="94"/>
  <c r="A46" i="94"/>
  <c r="A45" i="94"/>
  <c r="A44" i="94"/>
  <c r="A43" i="94"/>
  <c r="A42" i="94"/>
  <c r="A41" i="94"/>
  <c r="A40" i="94"/>
  <c r="A39" i="94"/>
  <c r="A38" i="94"/>
  <c r="A37" i="94"/>
  <c r="A36" i="94"/>
  <c r="A35" i="94"/>
  <c r="A34" i="94"/>
  <c r="A33" i="94"/>
  <c r="A32" i="94"/>
  <c r="A31" i="94"/>
  <c r="A30" i="94"/>
  <c r="A29" i="94"/>
  <c r="A28" i="94"/>
  <c r="A27" i="94"/>
  <c r="A23" i="94"/>
  <c r="A22" i="94"/>
  <c r="A21" i="94"/>
  <c r="A20" i="94"/>
  <c r="A19" i="94"/>
  <c r="A18" i="94"/>
  <c r="A17" i="94"/>
  <c r="A16" i="94"/>
  <c r="A15" i="94"/>
  <c r="A14" i="94"/>
  <c r="A13" i="94"/>
  <c r="A12" i="94"/>
  <c r="A11" i="94"/>
  <c r="A10" i="94"/>
  <c r="A9" i="94"/>
  <c r="A5" i="94"/>
  <c r="A4" i="94"/>
  <c r="A3" i="94"/>
  <c r="A57" i="119"/>
  <c r="A56" i="119"/>
  <c r="A55" i="119"/>
  <c r="A54" i="119"/>
  <c r="A53" i="119"/>
  <c r="A52" i="119"/>
  <c r="A51" i="119"/>
  <c r="A50" i="119"/>
  <c r="A46" i="119"/>
  <c r="A45" i="119"/>
  <c r="A44" i="119"/>
  <c r="A43" i="119"/>
  <c r="A42" i="119"/>
  <c r="A41" i="119"/>
  <c r="A40" i="119"/>
  <c r="A39" i="119"/>
  <c r="A38" i="119"/>
  <c r="A37" i="119"/>
  <c r="A36" i="119"/>
  <c r="A35" i="119"/>
  <c r="A34" i="119"/>
  <c r="A33" i="119"/>
  <c r="A32" i="119"/>
  <c r="A31" i="119"/>
  <c r="A30" i="119"/>
  <c r="A29" i="119"/>
  <c r="A28" i="119"/>
  <c r="A27" i="119"/>
  <c r="A23" i="119"/>
  <c r="A22" i="119"/>
  <c r="A21" i="119"/>
  <c r="A20" i="119"/>
  <c r="A19" i="119"/>
  <c r="A18" i="119"/>
  <c r="A17" i="119"/>
  <c r="A16" i="119"/>
  <c r="A15" i="119"/>
  <c r="A14" i="119"/>
  <c r="A13" i="119"/>
  <c r="A12" i="119"/>
  <c r="A11" i="119"/>
  <c r="A10" i="119"/>
  <c r="A9" i="119"/>
  <c r="A5" i="119"/>
  <c r="A4" i="119"/>
  <c r="A3" i="119"/>
  <c r="A98" i="91"/>
  <c r="A68" i="91"/>
  <c r="A57" i="91"/>
  <c r="A56" i="91"/>
  <c r="A55" i="91"/>
  <c r="A54" i="91"/>
  <c r="A53" i="91"/>
  <c r="A52" i="91"/>
  <c r="A51" i="91"/>
  <c r="A50" i="91"/>
  <c r="A46" i="91"/>
  <c r="A45" i="91"/>
  <c r="A44" i="91"/>
  <c r="A43" i="91"/>
  <c r="A42" i="91"/>
  <c r="A41" i="91"/>
  <c r="A40" i="91"/>
  <c r="A39" i="91"/>
  <c r="A38" i="91"/>
  <c r="A37" i="91"/>
  <c r="A36" i="91"/>
  <c r="A35" i="91"/>
  <c r="A34" i="91"/>
  <c r="A33" i="91"/>
  <c r="A32" i="91"/>
  <c r="A31" i="91"/>
  <c r="A30" i="91"/>
  <c r="A29" i="91"/>
  <c r="A28" i="91"/>
  <c r="A27" i="91"/>
  <c r="A23" i="91"/>
  <c r="A22" i="91"/>
  <c r="A21" i="91"/>
  <c r="A20" i="91"/>
  <c r="A19" i="91"/>
  <c r="A18" i="91"/>
  <c r="A17" i="91"/>
  <c r="A16" i="91"/>
  <c r="A15" i="91"/>
  <c r="A14" i="91"/>
  <c r="A13" i="91"/>
  <c r="A12" i="91"/>
  <c r="A11" i="91"/>
  <c r="A10" i="91"/>
  <c r="A9" i="91"/>
  <c r="A5" i="91"/>
  <c r="A4" i="91"/>
  <c r="A3" i="91"/>
  <c r="A68" i="117"/>
  <c r="A57" i="117"/>
  <c r="A56" i="117"/>
  <c r="A55" i="117"/>
  <c r="A54" i="117"/>
  <c r="A53" i="117"/>
  <c r="A52" i="117"/>
  <c r="A51" i="117"/>
  <c r="A50" i="117"/>
  <c r="A46" i="117"/>
  <c r="A45" i="117"/>
  <c r="A44" i="117"/>
  <c r="A43" i="117"/>
  <c r="A42" i="117"/>
  <c r="A41" i="117"/>
  <c r="A40" i="117"/>
  <c r="A39" i="117"/>
  <c r="A38" i="117"/>
  <c r="A37" i="117"/>
  <c r="A36" i="117"/>
  <c r="A35" i="117"/>
  <c r="A34" i="117"/>
  <c r="A33" i="117"/>
  <c r="A32" i="117"/>
  <c r="A31" i="117"/>
  <c r="A30" i="117"/>
  <c r="A29" i="117"/>
  <c r="A28" i="117"/>
  <c r="A27" i="117"/>
  <c r="A23" i="117"/>
  <c r="A22" i="117"/>
  <c r="A21" i="117"/>
  <c r="A20" i="117"/>
  <c r="A19" i="117"/>
  <c r="A18" i="117"/>
  <c r="A17" i="117"/>
  <c r="A16" i="117"/>
  <c r="A15" i="117"/>
  <c r="A14" i="117"/>
  <c r="A13" i="117"/>
  <c r="A12" i="117"/>
  <c r="A11" i="117"/>
  <c r="A10" i="117"/>
  <c r="A9" i="117"/>
  <c r="A5" i="117"/>
  <c r="A4" i="117"/>
  <c r="A3" i="117"/>
  <c r="A638" i="116"/>
  <c r="A608" i="116"/>
  <c r="A578" i="116"/>
  <c r="A548" i="116"/>
  <c r="A518" i="116"/>
  <c r="A488" i="116"/>
  <c r="A458" i="116"/>
  <c r="A428" i="116"/>
  <c r="A398" i="116"/>
  <c r="A368" i="116"/>
  <c r="A338" i="116"/>
  <c r="A308" i="116"/>
  <c r="A278" i="116"/>
  <c r="A248" i="116"/>
  <c r="A218" i="116"/>
  <c r="A188" i="116"/>
  <c r="A158" i="116"/>
  <c r="A128" i="116"/>
  <c r="A98" i="116"/>
  <c r="A68" i="116"/>
  <c r="A57" i="116"/>
  <c r="A56" i="116"/>
  <c r="A55" i="116"/>
  <c r="A54" i="116"/>
  <c r="A53" i="116"/>
  <c r="A52" i="116"/>
  <c r="A51" i="116"/>
  <c r="A50" i="116"/>
  <c r="A46" i="116"/>
  <c r="A45" i="116"/>
  <c r="A44" i="116"/>
  <c r="A43" i="116"/>
  <c r="A42" i="116"/>
  <c r="A41" i="116"/>
  <c r="A40" i="116"/>
  <c r="A39" i="116"/>
  <c r="A38" i="116"/>
  <c r="A37" i="116"/>
  <c r="A36" i="116"/>
  <c r="A35" i="116"/>
  <c r="A34" i="116"/>
  <c r="A33" i="116"/>
  <c r="A32" i="116"/>
  <c r="A31" i="116"/>
  <c r="A30" i="116"/>
  <c r="A29" i="116"/>
  <c r="A28" i="116"/>
  <c r="A27" i="116"/>
  <c r="A23" i="116"/>
  <c r="A22" i="116"/>
  <c r="A21" i="116"/>
  <c r="A20" i="116"/>
  <c r="A19" i="116"/>
  <c r="A18" i="116"/>
  <c r="A17" i="116"/>
  <c r="A16" i="116"/>
  <c r="A15" i="116"/>
  <c r="A14" i="116"/>
  <c r="A13" i="116"/>
  <c r="A12" i="116"/>
  <c r="A11" i="116"/>
  <c r="A10" i="116"/>
  <c r="A9" i="116"/>
  <c r="A5" i="116"/>
  <c r="A4" i="116"/>
  <c r="A3" i="116"/>
  <c r="A57" i="93"/>
  <c r="A56" i="93"/>
  <c r="A55" i="93"/>
  <c r="A54" i="93"/>
  <c r="A53" i="93"/>
  <c r="A52" i="93"/>
  <c r="A51" i="93"/>
  <c r="A50" i="93"/>
  <c r="A46" i="93"/>
  <c r="A45" i="93"/>
  <c r="A44" i="93"/>
  <c r="A43" i="93"/>
  <c r="A42" i="93"/>
  <c r="A41" i="93"/>
  <c r="A40" i="93"/>
  <c r="A39" i="93"/>
  <c r="A38" i="93"/>
  <c r="A37" i="93"/>
  <c r="A36" i="93"/>
  <c r="A35" i="93"/>
  <c r="A34" i="93"/>
  <c r="A33" i="93"/>
  <c r="A32" i="93"/>
  <c r="A31" i="93"/>
  <c r="A30" i="93"/>
  <c r="A29" i="93"/>
  <c r="A28" i="93"/>
  <c r="A27" i="93"/>
  <c r="A23" i="93"/>
  <c r="A22" i="93"/>
  <c r="A21" i="93"/>
  <c r="A20" i="93"/>
  <c r="A19" i="93"/>
  <c r="A18" i="93"/>
  <c r="A17" i="93"/>
  <c r="A16" i="93"/>
  <c r="A15" i="93"/>
  <c r="A14" i="93"/>
  <c r="A13" i="93"/>
  <c r="A12" i="93"/>
  <c r="A11" i="93"/>
  <c r="A10" i="93"/>
  <c r="A9" i="93"/>
  <c r="A5" i="93"/>
  <c r="A4" i="93"/>
  <c r="A3" i="93"/>
  <c r="A188" i="109"/>
  <c r="A158" i="109"/>
  <c r="A128" i="109"/>
  <c r="A98" i="109"/>
  <c r="A68" i="109"/>
  <c r="A57" i="109"/>
  <c r="A56" i="109"/>
  <c r="A55" i="109"/>
  <c r="A54" i="109"/>
  <c r="A53" i="109"/>
  <c r="A52" i="109"/>
  <c r="A51" i="109"/>
  <c r="A50" i="109"/>
  <c r="A46" i="109"/>
  <c r="A45" i="109"/>
  <c r="A44" i="109"/>
  <c r="A43" i="109"/>
  <c r="A42" i="109"/>
  <c r="A41" i="109"/>
  <c r="A40" i="109"/>
  <c r="A39" i="109"/>
  <c r="A38" i="109"/>
  <c r="A37" i="109"/>
  <c r="A36" i="109"/>
  <c r="A35" i="109"/>
  <c r="A34" i="109"/>
  <c r="A33" i="109"/>
  <c r="A32" i="109"/>
  <c r="A31" i="109"/>
  <c r="A30" i="109"/>
  <c r="A29" i="109"/>
  <c r="A28" i="109"/>
  <c r="A27" i="109"/>
  <c r="A23" i="109"/>
  <c r="A22" i="109"/>
  <c r="A21" i="109"/>
  <c r="A20" i="109"/>
  <c r="A19" i="109"/>
  <c r="A18" i="109"/>
  <c r="A17" i="109"/>
  <c r="A16" i="109"/>
  <c r="A15" i="109"/>
  <c r="A14" i="109"/>
  <c r="A13" i="109"/>
  <c r="A12" i="109"/>
  <c r="A11" i="109"/>
  <c r="A10" i="109"/>
  <c r="A9" i="109"/>
  <c r="A5" i="109"/>
  <c r="A4" i="109"/>
  <c r="A3" i="109"/>
  <c r="A57" i="97"/>
  <c r="A56" i="97"/>
  <c r="A55" i="97"/>
  <c r="A54" i="97"/>
  <c r="A53" i="97"/>
  <c r="A52" i="97"/>
  <c r="A51" i="97"/>
  <c r="A50" i="97"/>
  <c r="A46" i="97"/>
  <c r="A45" i="97"/>
  <c r="A44" i="97"/>
  <c r="A43" i="97"/>
  <c r="A42" i="97"/>
  <c r="A41" i="97"/>
  <c r="A40" i="97"/>
  <c r="A39" i="97"/>
  <c r="A38" i="97"/>
  <c r="A37" i="97"/>
  <c r="A36" i="97"/>
  <c r="A35" i="97"/>
  <c r="A34" i="97"/>
  <c r="A33" i="97"/>
  <c r="A32" i="97"/>
  <c r="A31" i="97"/>
  <c r="A30" i="97"/>
  <c r="A29" i="97"/>
  <c r="A28" i="97"/>
  <c r="A27" i="97"/>
  <c r="A23" i="97"/>
  <c r="A22" i="97"/>
  <c r="A21" i="97"/>
  <c r="A20" i="97"/>
  <c r="A19" i="97"/>
  <c r="A18" i="97"/>
  <c r="A17" i="97"/>
  <c r="A16" i="97"/>
  <c r="A15" i="97"/>
  <c r="A14" i="97"/>
  <c r="A13" i="97"/>
  <c r="A12" i="97"/>
  <c r="A11" i="97"/>
  <c r="A10" i="97"/>
  <c r="A9" i="97"/>
  <c r="A5" i="97"/>
  <c r="A4" i="97"/>
  <c r="A3" i="97"/>
  <c r="A68" i="96"/>
  <c r="A57" i="96"/>
  <c r="A56" i="96"/>
  <c r="A55" i="96"/>
  <c r="A54" i="96"/>
  <c r="A53" i="96"/>
  <c r="A52" i="96"/>
  <c r="A51" i="96"/>
  <c r="A50" i="96"/>
  <c r="A46" i="96"/>
  <c r="A45" i="96"/>
  <c r="A44" i="96"/>
  <c r="A43" i="96"/>
  <c r="A42" i="96"/>
  <c r="A41" i="96"/>
  <c r="A40" i="96"/>
  <c r="A39" i="96"/>
  <c r="A38" i="96"/>
  <c r="A37" i="96"/>
  <c r="A36" i="96"/>
  <c r="A35" i="96"/>
  <c r="A34" i="96"/>
  <c r="A33" i="96"/>
  <c r="A32" i="96"/>
  <c r="A31" i="96"/>
  <c r="A30" i="96"/>
  <c r="A29" i="96"/>
  <c r="A28" i="96"/>
  <c r="A27" i="96"/>
  <c r="A23" i="96"/>
  <c r="A22" i="96"/>
  <c r="A21" i="96"/>
  <c r="A20" i="96"/>
  <c r="A19" i="96"/>
  <c r="A18" i="96"/>
  <c r="A17" i="96"/>
  <c r="A16" i="96"/>
  <c r="A15" i="96"/>
  <c r="A14" i="96"/>
  <c r="A13" i="96"/>
  <c r="A12" i="96"/>
  <c r="A11" i="96"/>
  <c r="A10" i="96"/>
  <c r="A9" i="96"/>
  <c r="A5" i="96"/>
  <c r="A4" i="96"/>
  <c r="A3" i="96"/>
  <c r="A57" i="90"/>
  <c r="A56" i="90"/>
  <c r="A55" i="90"/>
  <c r="A54" i="90"/>
  <c r="A53" i="90"/>
  <c r="A52" i="90"/>
  <c r="A51" i="90"/>
  <c r="A50" i="90"/>
  <c r="A46" i="90"/>
  <c r="A45" i="90"/>
  <c r="A44" i="90"/>
  <c r="A43" i="90"/>
  <c r="A42" i="90"/>
  <c r="A41" i="90"/>
  <c r="A40" i="90"/>
  <c r="A39" i="90"/>
  <c r="A38" i="90"/>
  <c r="A37" i="90"/>
  <c r="A36" i="90"/>
  <c r="A35" i="90"/>
  <c r="A34" i="90"/>
  <c r="A33" i="90"/>
  <c r="A32" i="90"/>
  <c r="A31" i="90"/>
  <c r="A30" i="90"/>
  <c r="A29" i="90"/>
  <c r="A28" i="90"/>
  <c r="A27" i="90"/>
  <c r="A23" i="90"/>
  <c r="A22" i="90"/>
  <c r="A21" i="90"/>
  <c r="A20" i="90"/>
  <c r="A19" i="90"/>
  <c r="A18" i="90"/>
  <c r="A17" i="90"/>
  <c r="A16" i="90"/>
  <c r="A15" i="90"/>
  <c r="A14" i="90"/>
  <c r="A13" i="90"/>
  <c r="A12" i="90"/>
  <c r="A11" i="90"/>
  <c r="A10" i="90"/>
  <c r="A9" i="90"/>
  <c r="A5" i="90"/>
  <c r="A4" i="90"/>
  <c r="A3" i="90"/>
  <c r="A57" i="89"/>
  <c r="A56" i="89"/>
  <c r="A55" i="89"/>
  <c r="A54" i="89"/>
  <c r="A53" i="89"/>
  <c r="A52" i="89"/>
  <c r="A51" i="89"/>
  <c r="A50" i="89"/>
  <c r="A46" i="89"/>
  <c r="A45" i="89"/>
  <c r="A44" i="89"/>
  <c r="A43" i="89"/>
  <c r="A42" i="89"/>
  <c r="A41" i="89"/>
  <c r="A40" i="89"/>
  <c r="A39" i="89"/>
  <c r="A38" i="89"/>
  <c r="A37" i="89"/>
  <c r="A36" i="89"/>
  <c r="A35" i="89"/>
  <c r="A34" i="89"/>
  <c r="A33" i="89"/>
  <c r="A32" i="89"/>
  <c r="A31" i="89"/>
  <c r="A30" i="89"/>
  <c r="A29" i="89"/>
  <c r="A28" i="89"/>
  <c r="A27" i="89"/>
  <c r="A23" i="89"/>
  <c r="A22" i="89"/>
  <c r="A21" i="89"/>
  <c r="A20" i="89"/>
  <c r="A19" i="89"/>
  <c r="A18" i="89"/>
  <c r="A17" i="89"/>
  <c r="A16" i="89"/>
  <c r="A15" i="89"/>
  <c r="A14" i="89"/>
  <c r="A13" i="89"/>
  <c r="A12" i="89"/>
  <c r="A11" i="89"/>
  <c r="A10" i="89"/>
  <c r="A9" i="89"/>
  <c r="A5" i="89"/>
  <c r="A4" i="89"/>
  <c r="A3" i="89"/>
  <c r="A57" i="88"/>
  <c r="A56" i="88"/>
  <c r="A55" i="88"/>
  <c r="A54" i="88"/>
  <c r="A53" i="88"/>
  <c r="A52" i="88"/>
  <c r="A51" i="88"/>
  <c r="A50" i="88"/>
  <c r="A46" i="88"/>
  <c r="A45" i="88"/>
  <c r="A44" i="88"/>
  <c r="A43" i="88"/>
  <c r="A42" i="88"/>
  <c r="A41" i="88"/>
  <c r="A40" i="88"/>
  <c r="A39" i="88"/>
  <c r="A38" i="88"/>
  <c r="A37" i="88"/>
  <c r="A36" i="88"/>
  <c r="A35" i="88"/>
  <c r="A34" i="88"/>
  <c r="A33" i="88"/>
  <c r="A32" i="88"/>
  <c r="A31" i="88"/>
  <c r="A30" i="88"/>
  <c r="A29" i="88"/>
  <c r="A28" i="88"/>
  <c r="A27" i="88"/>
  <c r="A23" i="88"/>
  <c r="A22" i="88"/>
  <c r="A21" i="88"/>
  <c r="A20" i="88"/>
  <c r="A19" i="88"/>
  <c r="A18" i="88"/>
  <c r="A17" i="88"/>
  <c r="A16" i="88"/>
  <c r="A15" i="88"/>
  <c r="A14" i="88"/>
  <c r="A13" i="88"/>
  <c r="A12" i="88"/>
  <c r="A11" i="88"/>
  <c r="A10" i="88"/>
  <c r="A9" i="88"/>
  <c r="A5" i="88"/>
  <c r="A4" i="88"/>
  <c r="A3" i="88"/>
  <c r="A188" i="87"/>
  <c r="A158" i="87"/>
  <c r="A128" i="87"/>
  <c r="A98" i="87"/>
  <c r="A68" i="87"/>
  <c r="A57" i="87"/>
  <c r="A56" i="87"/>
  <c r="A55" i="87"/>
  <c r="A54" i="87"/>
  <c r="A53" i="87"/>
  <c r="A52" i="87"/>
  <c r="A51" i="87"/>
  <c r="A50" i="87"/>
  <c r="A46" i="87"/>
  <c r="A45" i="87"/>
  <c r="A44" i="87"/>
  <c r="A43" i="87"/>
  <c r="A42" i="87"/>
  <c r="A41" i="87"/>
  <c r="A40" i="87"/>
  <c r="A39" i="87"/>
  <c r="A38" i="87"/>
  <c r="A37" i="87"/>
  <c r="A36" i="87"/>
  <c r="A35" i="87"/>
  <c r="A34" i="87"/>
  <c r="A33" i="87"/>
  <c r="A32" i="87"/>
  <c r="A31" i="87"/>
  <c r="A30" i="87"/>
  <c r="A29" i="87"/>
  <c r="A28" i="87"/>
  <c r="A27" i="87"/>
  <c r="A23" i="87"/>
  <c r="A22" i="87"/>
  <c r="A21" i="87"/>
  <c r="A20" i="87"/>
  <c r="A19" i="87"/>
  <c r="A18" i="87"/>
  <c r="A17" i="87"/>
  <c r="A16" i="87"/>
  <c r="A15" i="87"/>
  <c r="A14" i="87"/>
  <c r="A13" i="87"/>
  <c r="A12" i="87"/>
  <c r="A11" i="87"/>
  <c r="A10" i="87"/>
  <c r="A9" i="87"/>
  <c r="A5" i="87"/>
  <c r="A4" i="87"/>
  <c r="A3" i="87"/>
  <c r="A57" i="86"/>
  <c r="A56" i="86"/>
  <c r="A55" i="86"/>
  <c r="A54" i="86"/>
  <c r="A53" i="86"/>
  <c r="A52" i="86"/>
  <c r="A51" i="86"/>
  <c r="A50" i="86"/>
  <c r="A46" i="86"/>
  <c r="A45" i="86"/>
  <c r="A44" i="86"/>
  <c r="A43" i="86"/>
  <c r="A42" i="86"/>
  <c r="A41" i="86"/>
  <c r="A40" i="86"/>
  <c r="A39" i="86"/>
  <c r="A38" i="86"/>
  <c r="A37" i="86"/>
  <c r="A36" i="86"/>
  <c r="A35" i="86"/>
  <c r="A34" i="86"/>
  <c r="A33" i="86"/>
  <c r="A32" i="86"/>
  <c r="A31" i="86"/>
  <c r="A30" i="86"/>
  <c r="A29" i="86"/>
  <c r="A28" i="86"/>
  <c r="A27" i="86"/>
  <c r="A23" i="86"/>
  <c r="A22" i="86"/>
  <c r="A21" i="86"/>
  <c r="A20" i="86"/>
  <c r="A19" i="86"/>
  <c r="A18" i="86"/>
  <c r="A17" i="86"/>
  <c r="A16" i="86"/>
  <c r="A15" i="86"/>
  <c r="A14" i="86"/>
  <c r="A13" i="86"/>
  <c r="A12" i="86"/>
  <c r="A11" i="86"/>
  <c r="A10" i="86"/>
  <c r="A9" i="86"/>
  <c r="A5" i="86"/>
  <c r="A4" i="86"/>
  <c r="A3" i="86"/>
  <c r="A98" i="85"/>
  <c r="A68" i="85"/>
  <c r="A57" i="85"/>
  <c r="A56" i="85"/>
  <c r="A55" i="85"/>
  <c r="A54" i="85"/>
  <c r="A53" i="85"/>
  <c r="A52" i="85"/>
  <c r="A51" i="85"/>
  <c r="A50" i="85"/>
  <c r="A46" i="85"/>
  <c r="A45" i="85"/>
  <c r="A44" i="85"/>
  <c r="A43" i="85"/>
  <c r="A42" i="85"/>
  <c r="A41" i="85"/>
  <c r="A40" i="85"/>
  <c r="A39" i="85"/>
  <c r="A38" i="85"/>
  <c r="A37" i="85"/>
  <c r="A36" i="85"/>
  <c r="A35" i="85"/>
  <c r="A34" i="85"/>
  <c r="A33" i="85"/>
  <c r="A32" i="85"/>
  <c r="A31" i="85"/>
  <c r="A30" i="85"/>
  <c r="A29" i="85"/>
  <c r="A28" i="85"/>
  <c r="A27" i="85"/>
  <c r="A23" i="85"/>
  <c r="A22" i="85"/>
  <c r="A21" i="85"/>
  <c r="A20" i="85"/>
  <c r="A19" i="85"/>
  <c r="A18" i="85"/>
  <c r="A17" i="85"/>
  <c r="A16" i="85"/>
  <c r="A15" i="85"/>
  <c r="A14" i="85"/>
  <c r="A13" i="85"/>
  <c r="A12" i="85"/>
  <c r="A11" i="85"/>
  <c r="A10" i="85"/>
  <c r="A9" i="85"/>
  <c r="A5" i="85"/>
  <c r="A4" i="85"/>
  <c r="A3" i="85"/>
  <c r="A248" i="84"/>
  <c r="A218" i="84"/>
  <c r="A188" i="84"/>
  <c r="A158" i="84"/>
  <c r="A128" i="84"/>
  <c r="A98" i="84"/>
  <c r="A68" i="84"/>
  <c r="A57" i="84"/>
  <c r="A56" i="84"/>
  <c r="A55" i="84"/>
  <c r="A54" i="84"/>
  <c r="A53" i="84"/>
  <c r="A52" i="84"/>
  <c r="A51" i="84"/>
  <c r="A50" i="84"/>
  <c r="A46" i="84"/>
  <c r="A45" i="84"/>
  <c r="A44" i="84"/>
  <c r="A43" i="84"/>
  <c r="A42" i="84"/>
  <c r="A41" i="84"/>
  <c r="A40" i="84"/>
  <c r="A39" i="84"/>
  <c r="A38" i="84"/>
  <c r="A37" i="84"/>
  <c r="A36" i="84"/>
  <c r="A35" i="84"/>
  <c r="A34" i="84"/>
  <c r="A33" i="84"/>
  <c r="A32" i="84"/>
  <c r="A31" i="84"/>
  <c r="A30" i="84"/>
  <c r="A29" i="84"/>
  <c r="A28" i="84"/>
  <c r="A27" i="84"/>
  <c r="A23" i="84"/>
  <c r="A22" i="84"/>
  <c r="A21" i="84"/>
  <c r="A20" i="84"/>
  <c r="A19" i="84"/>
  <c r="A18" i="84"/>
  <c r="A17" i="84"/>
  <c r="A16" i="84"/>
  <c r="A15" i="84"/>
  <c r="A14" i="84"/>
  <c r="A13" i="84"/>
  <c r="A12" i="84"/>
  <c r="A11" i="84"/>
  <c r="A10" i="84"/>
  <c r="A9" i="84"/>
  <c r="A5" i="84"/>
  <c r="A4" i="84"/>
  <c r="A3" i="84"/>
  <c r="A218" i="83"/>
  <c r="A188" i="83"/>
  <c r="A158" i="83"/>
  <c r="A128" i="83"/>
  <c r="A98" i="83"/>
  <c r="A68" i="83"/>
  <c r="A57" i="83"/>
  <c r="A56" i="83"/>
  <c r="A55" i="83"/>
  <c r="A54" i="83"/>
  <c r="A53" i="83"/>
  <c r="A52" i="83"/>
  <c r="A51" i="83"/>
  <c r="A50" i="83"/>
  <c r="A46" i="83"/>
  <c r="A45" i="83"/>
  <c r="A44" i="83"/>
  <c r="A43" i="83"/>
  <c r="A42" i="83"/>
  <c r="A41" i="83"/>
  <c r="A40" i="83"/>
  <c r="A39" i="83"/>
  <c r="A38" i="83"/>
  <c r="A37" i="83"/>
  <c r="A36" i="83"/>
  <c r="A35" i="83"/>
  <c r="A34" i="83"/>
  <c r="A33" i="83"/>
  <c r="A32" i="83"/>
  <c r="A31" i="83"/>
  <c r="A30" i="83"/>
  <c r="A29" i="83"/>
  <c r="A28" i="83"/>
  <c r="A27" i="83"/>
  <c r="A23" i="83"/>
  <c r="A22" i="83"/>
  <c r="A21" i="83"/>
  <c r="A20" i="83"/>
  <c r="A19" i="83"/>
  <c r="A18" i="83"/>
  <c r="A17" i="83"/>
  <c r="A16" i="83"/>
  <c r="A15" i="83"/>
  <c r="A14" i="83"/>
  <c r="A13" i="83"/>
  <c r="A12" i="83"/>
  <c r="A11" i="83"/>
  <c r="A10" i="83"/>
  <c r="A9" i="83"/>
  <c r="A5" i="83"/>
  <c r="A4" i="83"/>
  <c r="A3" i="83"/>
  <c r="A57" i="78"/>
  <c r="A56" i="78"/>
  <c r="A55" i="78"/>
  <c r="A54" i="78"/>
  <c r="A53" i="78"/>
  <c r="A52" i="78"/>
  <c r="A51" i="78"/>
  <c r="A50" i="78"/>
  <c r="A46" i="78"/>
  <c r="A45" i="78"/>
  <c r="A44" i="78"/>
  <c r="A43" i="78"/>
  <c r="A42" i="78"/>
  <c r="A41" i="78"/>
  <c r="A40" i="78"/>
  <c r="A39" i="78"/>
  <c r="A38" i="78"/>
  <c r="A37" i="78"/>
  <c r="A36" i="78"/>
  <c r="A35" i="78"/>
  <c r="A34" i="78"/>
  <c r="A33" i="78"/>
  <c r="A32" i="78"/>
  <c r="A31" i="78"/>
  <c r="A30" i="78"/>
  <c r="A29" i="78"/>
  <c r="A28" i="78"/>
  <c r="A27" i="78"/>
  <c r="A23" i="78"/>
  <c r="A22" i="78"/>
  <c r="A21" i="78"/>
  <c r="A20" i="78"/>
  <c r="A19" i="78"/>
  <c r="A18" i="78"/>
  <c r="A17" i="78"/>
  <c r="A16" i="78"/>
  <c r="A15" i="78"/>
  <c r="A14" i="78"/>
  <c r="A13" i="78"/>
  <c r="A12" i="78"/>
  <c r="A11" i="78"/>
  <c r="A10" i="78"/>
  <c r="A9" i="78"/>
  <c r="A5" i="78"/>
  <c r="A4" i="78"/>
  <c r="A3" i="78"/>
  <c r="A57" i="115"/>
  <c r="A56" i="115"/>
  <c r="A55" i="115"/>
  <c r="A54" i="115"/>
  <c r="A53" i="115"/>
  <c r="A52" i="115"/>
  <c r="A51" i="115"/>
  <c r="A50" i="115"/>
  <c r="A46" i="115"/>
  <c r="A45" i="115"/>
  <c r="A44" i="115"/>
  <c r="A43" i="115"/>
  <c r="A42" i="115"/>
  <c r="A41" i="115"/>
  <c r="A40" i="115"/>
  <c r="A39" i="115"/>
  <c r="A38" i="115"/>
  <c r="A37" i="115"/>
  <c r="A36" i="115"/>
  <c r="A35" i="115"/>
  <c r="A34" i="115"/>
  <c r="A33" i="115"/>
  <c r="A32" i="115"/>
  <c r="A31" i="115"/>
  <c r="A30" i="115"/>
  <c r="A29" i="115"/>
  <c r="A28" i="115"/>
  <c r="A27" i="115"/>
  <c r="A23" i="115"/>
  <c r="A22" i="115"/>
  <c r="A21" i="115"/>
  <c r="A20" i="115"/>
  <c r="A19" i="115"/>
  <c r="A18" i="115"/>
  <c r="A17" i="115"/>
  <c r="A16" i="115"/>
  <c r="A15" i="115"/>
  <c r="A14" i="115"/>
  <c r="A13" i="115"/>
  <c r="A12" i="115"/>
  <c r="A11" i="115"/>
  <c r="A10" i="115"/>
  <c r="A9" i="115"/>
  <c r="A5" i="115"/>
  <c r="A4" i="115"/>
  <c r="A3" i="115"/>
  <c r="A57" i="108"/>
  <c r="A56" i="108"/>
  <c r="A55" i="108"/>
  <c r="A54" i="108"/>
  <c r="A53" i="108"/>
  <c r="A52" i="108"/>
  <c r="A51" i="108"/>
  <c r="A50" i="108"/>
  <c r="A46" i="108"/>
  <c r="A45" i="108"/>
  <c r="A44" i="108"/>
  <c r="A43" i="108"/>
  <c r="A42" i="108"/>
  <c r="A41" i="108"/>
  <c r="A40" i="108"/>
  <c r="A39" i="108"/>
  <c r="A38" i="108"/>
  <c r="A37" i="108"/>
  <c r="A36" i="108"/>
  <c r="A35" i="108"/>
  <c r="A34" i="108"/>
  <c r="A33" i="108"/>
  <c r="A32" i="108"/>
  <c r="A31" i="108"/>
  <c r="A30" i="108"/>
  <c r="A29" i="108"/>
  <c r="A28" i="108"/>
  <c r="A27" i="108"/>
  <c r="A23" i="108"/>
  <c r="A22" i="108"/>
  <c r="A21" i="108"/>
  <c r="A20" i="108"/>
  <c r="A19" i="108"/>
  <c r="A18" i="108"/>
  <c r="A17" i="108"/>
  <c r="A16" i="108"/>
  <c r="A15" i="108"/>
  <c r="A14" i="108"/>
  <c r="A13" i="108"/>
  <c r="A12" i="108"/>
  <c r="A11" i="108"/>
  <c r="A10" i="108"/>
  <c r="A9" i="108"/>
  <c r="A5" i="108"/>
  <c r="A4" i="108"/>
  <c r="A3" i="108"/>
  <c r="A57" i="114"/>
  <c r="A56" i="114"/>
  <c r="A55" i="114"/>
  <c r="A54" i="114"/>
  <c r="A53" i="114"/>
  <c r="A52" i="114"/>
  <c r="A51" i="114"/>
  <c r="A50" i="114"/>
  <c r="A46" i="114"/>
  <c r="A45" i="114"/>
  <c r="A44" i="114"/>
  <c r="A43" i="114"/>
  <c r="A42" i="114"/>
  <c r="A41" i="114"/>
  <c r="A40" i="114"/>
  <c r="A39" i="114"/>
  <c r="A38" i="114"/>
  <c r="A37" i="114"/>
  <c r="A36" i="114"/>
  <c r="A35" i="114"/>
  <c r="A34" i="114"/>
  <c r="A33" i="114"/>
  <c r="A32" i="114"/>
  <c r="A31" i="114"/>
  <c r="A30" i="114"/>
  <c r="A29" i="114"/>
  <c r="A28" i="114"/>
  <c r="A27" i="114"/>
  <c r="A23" i="114"/>
  <c r="A22" i="114"/>
  <c r="A21" i="114"/>
  <c r="A20" i="114"/>
  <c r="A19" i="114"/>
  <c r="A18" i="114"/>
  <c r="A17" i="114"/>
  <c r="A16" i="114"/>
  <c r="A15" i="114"/>
  <c r="A14" i="114"/>
  <c r="A13" i="114"/>
  <c r="A12" i="114"/>
  <c r="A11" i="114"/>
  <c r="A10" i="114"/>
  <c r="A9" i="114"/>
  <c r="A5" i="114"/>
  <c r="A4" i="114"/>
  <c r="A3" i="114"/>
  <c r="A57" i="113"/>
  <c r="A56" i="113"/>
  <c r="A55" i="113"/>
  <c r="A54" i="113"/>
  <c r="A53" i="113"/>
  <c r="A52" i="113"/>
  <c r="A51" i="113"/>
  <c r="A50" i="113"/>
  <c r="A46" i="113"/>
  <c r="A45" i="113"/>
  <c r="A44" i="113"/>
  <c r="A43" i="113"/>
  <c r="A42" i="113"/>
  <c r="A41" i="113"/>
  <c r="A40" i="113"/>
  <c r="A39" i="113"/>
  <c r="A38" i="113"/>
  <c r="A37" i="113"/>
  <c r="A36" i="113"/>
  <c r="A35" i="113"/>
  <c r="A34" i="113"/>
  <c r="A33" i="113"/>
  <c r="A32" i="113"/>
  <c r="A31" i="113"/>
  <c r="A30" i="113"/>
  <c r="A29" i="113"/>
  <c r="A28" i="113"/>
  <c r="A27" i="113"/>
  <c r="A23" i="113"/>
  <c r="A22" i="113"/>
  <c r="A21" i="113"/>
  <c r="A20" i="113"/>
  <c r="A19" i="113"/>
  <c r="A18" i="113"/>
  <c r="A17" i="113"/>
  <c r="A16" i="113"/>
  <c r="A15" i="113"/>
  <c r="A14" i="113"/>
  <c r="A13" i="113"/>
  <c r="A12" i="113"/>
  <c r="A11" i="113"/>
  <c r="A10" i="113"/>
  <c r="A9" i="113"/>
  <c r="A5" i="113"/>
  <c r="A4" i="113"/>
  <c r="A3" i="113"/>
  <c r="A57" i="112"/>
  <c r="A56" i="112"/>
  <c r="A55" i="112"/>
  <c r="A54" i="112"/>
  <c r="A53" i="112"/>
  <c r="A52" i="112"/>
  <c r="A51" i="112"/>
  <c r="A50" i="112"/>
  <c r="A46" i="112"/>
  <c r="A45" i="112"/>
  <c r="A44" i="112"/>
  <c r="A43" i="112"/>
  <c r="A42" i="112"/>
  <c r="A41" i="112"/>
  <c r="A40" i="112"/>
  <c r="A39" i="112"/>
  <c r="A38" i="112"/>
  <c r="A37" i="112"/>
  <c r="A36" i="112"/>
  <c r="A35" i="112"/>
  <c r="A34" i="112"/>
  <c r="A33" i="112"/>
  <c r="A32" i="112"/>
  <c r="A31" i="112"/>
  <c r="A30" i="112"/>
  <c r="A29" i="112"/>
  <c r="A28" i="112"/>
  <c r="A27" i="112"/>
  <c r="A23" i="112"/>
  <c r="A22" i="112"/>
  <c r="A21" i="112"/>
  <c r="A20" i="112"/>
  <c r="A19" i="112"/>
  <c r="A18" i="112"/>
  <c r="A17" i="112"/>
  <c r="A16" i="112"/>
  <c r="A15" i="112"/>
  <c r="A14" i="112"/>
  <c r="A13" i="112"/>
  <c r="A12" i="112"/>
  <c r="A11" i="112"/>
  <c r="A10" i="112"/>
  <c r="A9" i="112"/>
  <c r="A5" i="112"/>
  <c r="A4" i="112"/>
  <c r="A3" i="112"/>
  <c r="A57" i="92"/>
  <c r="A56" i="92"/>
  <c r="A55" i="92"/>
  <c r="A54" i="92"/>
  <c r="A53" i="92"/>
  <c r="A52" i="92"/>
  <c r="A51" i="92"/>
  <c r="A50" i="92"/>
  <c r="A46" i="92"/>
  <c r="A45" i="92"/>
  <c r="A44" i="92"/>
  <c r="A43" i="92"/>
  <c r="A42" i="92"/>
  <c r="A41" i="92"/>
  <c r="A40" i="92"/>
  <c r="A39" i="92"/>
  <c r="A38" i="92"/>
  <c r="A37" i="92"/>
  <c r="A36" i="92"/>
  <c r="A35" i="92"/>
  <c r="A34" i="92"/>
  <c r="A33" i="92"/>
  <c r="A32" i="92"/>
  <c r="A31" i="92"/>
  <c r="A30" i="92"/>
  <c r="A29" i="92"/>
  <c r="A28" i="92"/>
  <c r="A27" i="92"/>
  <c r="A23" i="92"/>
  <c r="A22" i="92"/>
  <c r="A21" i="92"/>
  <c r="A20" i="92"/>
  <c r="A19" i="92"/>
  <c r="A18" i="92"/>
  <c r="A17" i="92"/>
  <c r="A16" i="92"/>
  <c r="A15" i="92"/>
  <c r="A14" i="92"/>
  <c r="A13" i="92"/>
  <c r="A12" i="92"/>
  <c r="A11" i="92"/>
  <c r="A10" i="92"/>
  <c r="A9" i="92"/>
  <c r="A5" i="92"/>
  <c r="A4" i="92"/>
  <c r="A3" i="92"/>
  <c r="A57" i="95"/>
  <c r="A56" i="95"/>
  <c r="A55" i="95"/>
  <c r="A54" i="95"/>
  <c r="A53" i="95"/>
  <c r="A52" i="95"/>
  <c r="A51" i="95"/>
  <c r="A50" i="95"/>
  <c r="A46" i="95"/>
  <c r="A45" i="95"/>
  <c r="A44" i="95"/>
  <c r="A43" i="95"/>
  <c r="A42" i="95"/>
  <c r="A41" i="95"/>
  <c r="A40" i="95"/>
  <c r="A39" i="95"/>
  <c r="A38" i="95"/>
  <c r="A37" i="95"/>
  <c r="A36" i="95"/>
  <c r="A35" i="95"/>
  <c r="A34" i="95"/>
  <c r="A33" i="95"/>
  <c r="A32" i="95"/>
  <c r="A31" i="95"/>
  <c r="A30" i="95"/>
  <c r="A29" i="95"/>
  <c r="A28" i="95"/>
  <c r="A27" i="95"/>
  <c r="A23" i="95"/>
  <c r="A22" i="95"/>
  <c r="A21" i="95"/>
  <c r="A20" i="95"/>
  <c r="A19" i="95"/>
  <c r="A18" i="95"/>
  <c r="A17" i="95"/>
  <c r="A16" i="95"/>
  <c r="A15" i="95"/>
  <c r="A14" i="95"/>
  <c r="A13" i="95"/>
  <c r="A12" i="95"/>
  <c r="A11" i="95"/>
  <c r="A10" i="95"/>
  <c r="A9" i="95"/>
  <c r="A5" i="95"/>
  <c r="A4" i="95"/>
  <c r="A3" i="95"/>
  <c r="A57" i="111"/>
  <c r="A56" i="111"/>
  <c r="A55" i="111"/>
  <c r="A54" i="111"/>
  <c r="A53" i="111"/>
  <c r="A52" i="111"/>
  <c r="A51" i="111"/>
  <c r="A50" i="111"/>
  <c r="A46" i="111"/>
  <c r="A45" i="111"/>
  <c r="A44" i="111"/>
  <c r="A43" i="111"/>
  <c r="A42" i="111"/>
  <c r="A41" i="111"/>
  <c r="A40" i="111"/>
  <c r="A39" i="111"/>
  <c r="A38" i="111"/>
  <c r="A37" i="111"/>
  <c r="A36" i="111"/>
  <c r="A35" i="111"/>
  <c r="A34" i="111"/>
  <c r="A33" i="111"/>
  <c r="A32" i="111"/>
  <c r="A31" i="111"/>
  <c r="A30" i="111"/>
  <c r="A29" i="111"/>
  <c r="A28" i="111"/>
  <c r="A27" i="111"/>
  <c r="A23" i="111"/>
  <c r="A22" i="111"/>
  <c r="A21" i="111"/>
  <c r="A20" i="111"/>
  <c r="A19" i="111"/>
  <c r="A18" i="111"/>
  <c r="A17" i="111"/>
  <c r="A16" i="111"/>
  <c r="A15" i="111"/>
  <c r="A14" i="111"/>
  <c r="A13" i="111"/>
  <c r="A12" i="111"/>
  <c r="A11" i="111"/>
  <c r="A10" i="111"/>
  <c r="A9" i="111"/>
  <c r="A5" i="111"/>
  <c r="A4" i="111"/>
  <c r="A3" i="111"/>
  <c r="A57" i="81"/>
  <c r="A56" i="81"/>
  <c r="A55" i="81"/>
  <c r="A54" i="81"/>
  <c r="A53" i="81"/>
  <c r="A52" i="81"/>
  <c r="A51" i="81"/>
  <c r="A50" i="81"/>
  <c r="A46" i="81"/>
  <c r="A45" i="81"/>
  <c r="A44" i="81"/>
  <c r="A43" i="81"/>
  <c r="A42" i="81"/>
  <c r="A41" i="81"/>
  <c r="A40" i="81"/>
  <c r="A39" i="81"/>
  <c r="A38" i="81"/>
  <c r="A37" i="81"/>
  <c r="A36" i="81"/>
  <c r="A35" i="81"/>
  <c r="A34" i="81"/>
  <c r="A33" i="81"/>
  <c r="A32" i="81"/>
  <c r="A31" i="81"/>
  <c r="A30" i="81"/>
  <c r="A29" i="81"/>
  <c r="A28" i="81"/>
  <c r="A27" i="81"/>
  <c r="A23" i="81"/>
  <c r="A22" i="81"/>
  <c r="A21" i="81"/>
  <c r="A20" i="81"/>
  <c r="A19" i="81"/>
  <c r="A18" i="81"/>
  <c r="A17" i="81"/>
  <c r="A16" i="81"/>
  <c r="A15" i="81"/>
  <c r="A14" i="81"/>
  <c r="A13" i="81"/>
  <c r="A12" i="81"/>
  <c r="A11" i="81"/>
  <c r="A10" i="81"/>
  <c r="A9" i="81"/>
  <c r="A5" i="81"/>
  <c r="A4" i="81"/>
  <c r="A3" i="81"/>
  <c r="A57" i="82"/>
  <c r="A56" i="82"/>
  <c r="A55" i="82"/>
  <c r="A54" i="82"/>
  <c r="A53" i="82"/>
  <c r="A52" i="82"/>
  <c r="A51" i="82"/>
  <c r="A50" i="82"/>
  <c r="A46" i="82"/>
  <c r="A45" i="82"/>
  <c r="A44" i="82"/>
  <c r="A43" i="82"/>
  <c r="A42" i="82"/>
  <c r="A41" i="82"/>
  <c r="A40" i="82"/>
  <c r="A39" i="82"/>
  <c r="A38" i="82"/>
  <c r="A37" i="82"/>
  <c r="A36" i="82"/>
  <c r="A35" i="82"/>
  <c r="A34" i="82"/>
  <c r="A33" i="82"/>
  <c r="A32" i="82"/>
  <c r="A31" i="82"/>
  <c r="A30" i="82"/>
  <c r="A29" i="82"/>
  <c r="A28" i="82"/>
  <c r="A27" i="82"/>
  <c r="A23" i="82"/>
  <c r="A22" i="82"/>
  <c r="A21" i="82"/>
  <c r="A20" i="82"/>
  <c r="A19" i="82"/>
  <c r="A18" i="82"/>
  <c r="A17" i="82"/>
  <c r="A16" i="82"/>
  <c r="A15" i="82"/>
  <c r="A14" i="82"/>
  <c r="A13" i="82"/>
  <c r="A12" i="82"/>
  <c r="A11" i="82"/>
  <c r="A10" i="82"/>
  <c r="A9" i="82"/>
  <c r="A5" i="82"/>
  <c r="A4" i="82"/>
  <c r="A3" i="82"/>
  <c r="A57" i="75"/>
  <c r="A56" i="75"/>
  <c r="A55" i="75"/>
  <c r="A54" i="75"/>
  <c r="A53" i="75"/>
  <c r="A52" i="75"/>
  <c r="A51" i="75"/>
  <c r="A50" i="75"/>
  <c r="A46" i="75"/>
  <c r="A45" i="75"/>
  <c r="A44" i="75"/>
  <c r="A43" i="75"/>
  <c r="A42" i="75"/>
  <c r="A41" i="75"/>
  <c r="A40" i="75"/>
  <c r="A39" i="75"/>
  <c r="A38" i="75"/>
  <c r="A37" i="75"/>
  <c r="A36" i="75"/>
  <c r="A35" i="75"/>
  <c r="A34" i="75"/>
  <c r="A33" i="75"/>
  <c r="A32" i="75"/>
  <c r="A31" i="75"/>
  <c r="A30" i="75"/>
  <c r="A29" i="75"/>
  <c r="A28" i="75"/>
  <c r="A27" i="75"/>
  <c r="A23" i="75"/>
  <c r="A22" i="75"/>
  <c r="A21" i="75"/>
  <c r="A20" i="75"/>
  <c r="A19" i="75"/>
  <c r="A18" i="75"/>
  <c r="A17" i="75"/>
  <c r="A16" i="75"/>
  <c r="A15" i="75"/>
  <c r="A14" i="75"/>
  <c r="A13" i="75"/>
  <c r="A12" i="75"/>
  <c r="A11" i="75"/>
  <c r="A10" i="75"/>
  <c r="A9" i="75"/>
  <c r="A5" i="75"/>
  <c r="A4" i="75"/>
  <c r="A3" i="75"/>
  <c r="A68" i="72"/>
  <c r="A57" i="72"/>
  <c r="A56" i="72"/>
  <c r="A55" i="72"/>
  <c r="A54" i="72"/>
  <c r="A53" i="72"/>
  <c r="A52" i="72"/>
  <c r="A51" i="72"/>
  <c r="A50" i="72"/>
  <c r="A46" i="72"/>
  <c r="A45" i="72"/>
  <c r="A44" i="72"/>
  <c r="A43" i="72"/>
  <c r="A42" i="72"/>
  <c r="A41" i="72"/>
  <c r="A40" i="72"/>
  <c r="A39" i="72"/>
  <c r="A38" i="72"/>
  <c r="A37" i="72"/>
  <c r="A36" i="72"/>
  <c r="A35" i="72"/>
  <c r="A34" i="72"/>
  <c r="A33" i="72"/>
  <c r="A32" i="72"/>
  <c r="A31" i="72"/>
  <c r="A30" i="72"/>
  <c r="A29" i="72"/>
  <c r="A28" i="72"/>
  <c r="A27" i="72"/>
  <c r="A23" i="72"/>
  <c r="A22" i="72"/>
  <c r="A21" i="72"/>
  <c r="A20" i="72"/>
  <c r="A19" i="72"/>
  <c r="A18" i="72"/>
  <c r="A17" i="72"/>
  <c r="A16" i="72"/>
  <c r="A15" i="72"/>
  <c r="A14" i="72"/>
  <c r="A13" i="72"/>
  <c r="A12" i="72"/>
  <c r="A11" i="72"/>
  <c r="A10" i="72"/>
  <c r="A9" i="72"/>
  <c r="A5" i="72"/>
  <c r="A4" i="72"/>
  <c r="A3" i="72"/>
  <c r="A57" i="80"/>
  <c r="A56" i="80"/>
  <c r="A55" i="80"/>
  <c r="A54" i="80"/>
  <c r="A53" i="80"/>
  <c r="A52" i="80"/>
  <c r="A51" i="80"/>
  <c r="A50" i="80"/>
  <c r="A46" i="80"/>
  <c r="A45" i="80"/>
  <c r="A44" i="80"/>
  <c r="A43" i="80"/>
  <c r="A42" i="80"/>
  <c r="A41" i="80"/>
  <c r="A40" i="80"/>
  <c r="A39" i="80"/>
  <c r="A38" i="80"/>
  <c r="A37" i="80"/>
  <c r="A36" i="80"/>
  <c r="A35" i="80"/>
  <c r="A34" i="80"/>
  <c r="A33" i="80"/>
  <c r="A32" i="80"/>
  <c r="A31" i="80"/>
  <c r="A30" i="80"/>
  <c r="A29" i="80"/>
  <c r="A28" i="80"/>
  <c r="A27" i="80"/>
  <c r="A23" i="80"/>
  <c r="A22" i="80"/>
  <c r="A21" i="80"/>
  <c r="A20" i="80"/>
  <c r="A19" i="80"/>
  <c r="A18" i="80"/>
  <c r="A17" i="80"/>
  <c r="A16" i="80"/>
  <c r="A15" i="80"/>
  <c r="A14" i="80"/>
  <c r="A13" i="80"/>
  <c r="A12" i="80"/>
  <c r="A11" i="80"/>
  <c r="A10" i="80"/>
  <c r="A9" i="80"/>
  <c r="A5" i="80"/>
  <c r="A4" i="80"/>
  <c r="A3" i="80"/>
  <c r="A57" i="13"/>
  <c r="A56" i="13"/>
  <c r="A55" i="13"/>
  <c r="A54" i="13"/>
  <c r="A53" i="13"/>
  <c r="A52" i="13"/>
  <c r="A51" i="13"/>
  <c r="A50" i="13"/>
  <c r="A46" i="13"/>
  <c r="A45" i="13"/>
  <c r="A44" i="13"/>
  <c r="A43" i="13"/>
  <c r="A42" i="13"/>
  <c r="A41" i="13"/>
  <c r="A40" i="13"/>
  <c r="A39" i="13"/>
  <c r="A38" i="13"/>
  <c r="A37" i="13"/>
  <c r="A36" i="13"/>
  <c r="A35" i="13"/>
  <c r="A34" i="13"/>
  <c r="A33" i="13"/>
  <c r="A32" i="13"/>
  <c r="A31" i="13"/>
  <c r="A30" i="13"/>
  <c r="A29" i="13"/>
  <c r="A28" i="13"/>
  <c r="A27" i="13"/>
  <c r="A23" i="13"/>
  <c r="A22" i="13"/>
  <c r="A21" i="13"/>
  <c r="A20" i="13"/>
  <c r="A19" i="13"/>
  <c r="A18" i="13"/>
  <c r="A17" i="13"/>
  <c r="A16" i="13"/>
  <c r="A15" i="13"/>
  <c r="A14" i="13"/>
  <c r="A13" i="13"/>
  <c r="A12" i="13"/>
  <c r="A11" i="13"/>
  <c r="A10" i="13"/>
  <c r="A9" i="13"/>
  <c r="A5" i="13"/>
  <c r="A4" i="13"/>
  <c r="A3" i="13"/>
  <c r="A57" i="71"/>
  <c r="A56" i="71"/>
  <c r="A55" i="71"/>
  <c r="A54" i="71"/>
  <c r="A53" i="71"/>
  <c r="A52" i="71"/>
  <c r="A51" i="71"/>
  <c r="A50" i="71"/>
  <c r="A46" i="71"/>
  <c r="A45" i="71"/>
  <c r="A44" i="71"/>
  <c r="A43" i="71"/>
  <c r="A42" i="71"/>
  <c r="A41" i="71"/>
  <c r="A40" i="71"/>
  <c r="A39" i="71"/>
  <c r="A38" i="71"/>
  <c r="A37" i="71"/>
  <c r="A36" i="71"/>
  <c r="A35" i="71"/>
  <c r="A34" i="71"/>
  <c r="A33" i="71"/>
  <c r="A32" i="71"/>
  <c r="A31" i="71"/>
  <c r="A30" i="71"/>
  <c r="A29" i="71"/>
  <c r="A28" i="71"/>
  <c r="A27" i="71"/>
  <c r="A23" i="71"/>
  <c r="A22" i="71"/>
  <c r="A21" i="71"/>
  <c r="A20" i="71"/>
  <c r="A19" i="71"/>
  <c r="A18" i="71"/>
  <c r="A17" i="71"/>
  <c r="A16" i="71"/>
  <c r="A15" i="71"/>
  <c r="A14" i="71"/>
  <c r="A13" i="71"/>
  <c r="A12" i="71"/>
  <c r="A11" i="71"/>
  <c r="A10" i="71"/>
  <c r="A9" i="71"/>
  <c r="A5" i="71"/>
  <c r="A4" i="71"/>
  <c r="A3" i="71"/>
  <c r="D75" i="106"/>
  <c r="D74" i="106"/>
  <c r="D73" i="106"/>
  <c r="D72" i="106"/>
  <c r="D71" i="106"/>
  <c r="D70" i="106"/>
  <c r="D69" i="106"/>
  <c r="D68" i="106"/>
  <c r="D134" i="105" a="1"/>
  <c r="D134" i="105" s="1"/>
  <c r="D102" i="105" a="1"/>
  <c r="D102" i="105" s="1"/>
  <c r="G25" i="104" a="1"/>
  <c r="G25" i="104" s="1"/>
  <c r="F25" i="104" a="1"/>
  <c r="F25" i="104" s="1"/>
  <c r="D25" i="104" a="1"/>
  <c r="D25" i="104" s="1"/>
  <c r="H20" i="103" a="1"/>
  <c r="H20" i="103" s="1"/>
  <c r="E20" i="103" a="1"/>
  <c r="E20" i="103" s="1"/>
  <c r="D20" i="103" a="1"/>
  <c r="D20" i="103" s="1"/>
  <c r="N21" i="101" a="1"/>
  <c r="N21" i="101" s="1"/>
  <c r="N11" i="101" a="1"/>
  <c r="N11" i="101" s="1"/>
  <c r="F642" i="116" a="1"/>
  <c r="F642" i="116" s="1"/>
  <c r="E642" i="116" a="1"/>
  <c r="E642" i="116" s="1"/>
  <c r="D642" i="116" a="1"/>
  <c r="D642" i="116" s="1"/>
  <c r="F624" i="116" a="1"/>
  <c r="F624" i="116" s="1"/>
  <c r="E624" i="116" a="1"/>
  <c r="E624" i="116" s="1"/>
  <c r="D624" i="116" a="1"/>
  <c r="D624" i="116" s="1"/>
  <c r="F505" i="116" a="1"/>
  <c r="F505" i="116" s="1"/>
  <c r="E505" i="116" a="1"/>
  <c r="E505" i="116" s="1"/>
  <c r="K505" i="116" s="1" a="1"/>
  <c r="K505" i="116" s="1"/>
  <c r="D505" i="116" a="1"/>
  <c r="D505" i="116" s="1"/>
  <c r="F463" i="116" a="1"/>
  <c r="F463" i="116" s="1"/>
  <c r="E463" i="116" a="1"/>
  <c r="D463" i="116" a="1"/>
  <c r="D463" i="116" s="1"/>
  <c r="F445" i="116" a="1"/>
  <c r="F445" i="116" s="1"/>
  <c r="E445" i="116" a="1"/>
  <c r="D445" i="116" a="1"/>
  <c r="D445" i="116" s="1"/>
  <c r="G351" i="116" a="1"/>
  <c r="G351" i="116" s="1"/>
  <c r="L351" i="116" s="1"/>
  <c r="F351" i="116" a="1"/>
  <c r="F351" i="116" s="1"/>
  <c r="E351" i="116" a="1"/>
  <c r="E351" i="116" s="1"/>
  <c r="D351" i="116" a="1"/>
  <c r="D351" i="116" s="1"/>
  <c r="D320" i="116" a="1"/>
  <c r="D320" i="116" s="1"/>
  <c r="AD252" i="116" a="1"/>
  <c r="AD252" i="116" s="1"/>
  <c r="AC252" i="116" a="1"/>
  <c r="AC252" i="116" s="1"/>
  <c r="Z252" i="116" a="1"/>
  <c r="Z252" i="116" s="1"/>
  <c r="Y252" i="116" a="1"/>
  <c r="V252" i="116" a="1"/>
  <c r="V252" i="116" s="1"/>
  <c r="U252" i="116" a="1"/>
  <c r="U252" i="116" s="1"/>
  <c r="R252" i="116" a="1"/>
  <c r="R252" i="116" s="1"/>
  <c r="Q252" i="116" a="1"/>
  <c r="Q252" i="116" s="1"/>
  <c r="P252" i="116" a="1"/>
  <c r="P252" i="116" s="1"/>
  <c r="O252" i="116" a="1"/>
  <c r="D252" i="116" a="1"/>
  <c r="D252" i="116" s="1"/>
  <c r="D236" i="116" a="1"/>
  <c r="D236" i="116" s="1"/>
  <c r="AA120" i="116" a="1"/>
  <c r="AA120" i="116" s="1"/>
  <c r="Z120" i="116" a="1"/>
  <c r="Z120" i="116" s="1"/>
  <c r="Y120" i="116" a="1"/>
  <c r="Y120" i="116" s="1"/>
  <c r="W120" i="116" a="1"/>
  <c r="W120" i="116" s="1"/>
  <c r="V120" i="116" a="1"/>
  <c r="V120" i="116" s="1"/>
  <c r="U120" i="116" a="1"/>
  <c r="U120" i="116" s="1"/>
  <c r="S120" i="116" a="1"/>
  <c r="S120" i="116" s="1"/>
  <c r="R120" i="116" a="1"/>
  <c r="R120" i="116" s="1"/>
  <c r="Q120" i="116" a="1"/>
  <c r="Q120" i="116" s="1"/>
  <c r="O120" i="116" a="1"/>
  <c r="O120" i="116" s="1"/>
  <c r="N120" i="116" a="1"/>
  <c r="N120" i="116" s="1"/>
  <c r="M120" i="116" a="1"/>
  <c r="M120" i="116" s="1"/>
  <c r="E120" i="116" a="1"/>
  <c r="E120" i="116" s="1"/>
  <c r="D120" i="116" a="1"/>
  <c r="D120" i="116" s="1"/>
  <c r="H79" i="116" a="1"/>
  <c r="H79" i="116" s="1"/>
  <c r="E79" i="116" a="1"/>
  <c r="E79" i="116" s="1"/>
  <c r="D79" i="116" a="1"/>
  <c r="D79" i="116" s="1"/>
  <c r="D32" i="97"/>
  <c r="D25" i="97"/>
  <c r="M39" i="96" a="1"/>
  <c r="M39" i="96" s="1"/>
  <c r="F39" i="96"/>
  <c r="D37" i="96"/>
  <c r="D34" i="96"/>
  <c r="D33" i="96"/>
  <c r="D25" i="96"/>
  <c r="D62" i="87"/>
  <c r="E62" i="87" s="1" a="1"/>
  <c r="E62" i="87" s="1"/>
  <c r="D61" i="87"/>
  <c r="D60" i="87"/>
  <c r="D59" i="87"/>
  <c r="E59" i="87" s="1" a="1"/>
  <c r="E59" i="87" s="1"/>
  <c r="D58" i="87"/>
  <c r="D57" i="87"/>
  <c r="D56" i="87"/>
  <c r="D55" i="87"/>
  <c r="E55" i="87" s="1" a="1"/>
  <c r="E55" i="87" s="1"/>
  <c r="D54" i="87"/>
  <c r="D49" i="87"/>
  <c r="D48" i="87"/>
  <c r="E48" i="87" s="1" a="1"/>
  <c r="E48" i="87" s="1"/>
  <c r="D47" i="87"/>
  <c r="D46" i="87"/>
  <c r="D45" i="87"/>
  <c r="E45" i="87" s="1" a="1"/>
  <c r="E45" i="87" s="1"/>
  <c r="D44" i="87"/>
  <c r="E44" i="87" s="1" a="1"/>
  <c r="E44" i="87" s="1"/>
  <c r="D43" i="87"/>
  <c r="D42" i="87"/>
  <c r="E42" i="87" s="1" a="1"/>
  <c r="E42" i="87" s="1"/>
  <c r="D41" i="87"/>
  <c r="D52" i="85"/>
  <c r="D51" i="85"/>
  <c r="D50" i="85"/>
  <c r="E50" i="85" s="1" a="1"/>
  <c r="E50" i="85" s="1"/>
  <c r="D49" i="85"/>
  <c r="E49" i="85" s="1" a="1"/>
  <c r="E49" i="85" s="1"/>
  <c r="D48" i="85"/>
  <c r="D47" i="85"/>
  <c r="D46" i="85"/>
  <c r="E46" i="85" s="1" a="1"/>
  <c r="E46" i="85" s="1"/>
  <c r="D45" i="85"/>
  <c r="D145" i="84"/>
  <c r="E145" i="84" s="1" a="1"/>
  <c r="E145" i="84" s="1"/>
  <c r="D144" i="84"/>
  <c r="D143" i="84"/>
  <c r="D142" i="84"/>
  <c r="D141" i="84"/>
  <c r="E141" i="84" s="1" a="1"/>
  <c r="E141" i="84" s="1"/>
  <c r="D140" i="84"/>
  <c r="D139" i="84"/>
  <c r="D138" i="84"/>
  <c r="N81" i="83"/>
  <c r="D81" i="83"/>
  <c r="N80" i="83"/>
  <c r="D80" i="83"/>
  <c r="N79" i="83"/>
  <c r="D79" i="83"/>
  <c r="N78" i="83"/>
  <c r="D78" i="83"/>
  <c r="N77" i="83"/>
  <c r="D77" i="83"/>
  <c r="N76" i="83"/>
  <c r="D76" i="83"/>
  <c r="N75" i="83"/>
  <c r="D75" i="83"/>
  <c r="N74" i="83"/>
  <c r="D74" i="83"/>
  <c r="N73" i="83"/>
  <c r="D73" i="83"/>
  <c r="J21" i="95" a="1"/>
  <c r="J21" i="95" s="1"/>
  <c r="G21" i="95" a="1"/>
  <c r="G21" i="95" s="1"/>
  <c r="J20" i="95" a="1"/>
  <c r="J20" i="95" s="1"/>
  <c r="G20" i="95" a="1"/>
  <c r="G20" i="95" s="1"/>
  <c r="J19" i="95" a="1"/>
  <c r="J19" i="95" s="1"/>
  <c r="G19" i="95" a="1"/>
  <c r="G19" i="95" s="1"/>
  <c r="J18" i="95" a="1"/>
  <c r="J18" i="95" s="1"/>
  <c r="G18" i="95" a="1"/>
  <c r="G18" i="95" s="1"/>
  <c r="J17" i="95" a="1"/>
  <c r="J17" i="95" s="1"/>
  <c r="G17" i="95" a="1"/>
  <c r="G17" i="95" s="1"/>
  <c r="D56" i="82"/>
  <c r="D55" i="82"/>
  <c r="D54" i="82"/>
  <c r="D53" i="82"/>
  <c r="D52" i="82"/>
  <c r="D49" i="82"/>
  <c r="D48" i="82"/>
  <c r="D47" i="82"/>
  <c r="D46" i="82"/>
  <c r="D45" i="82"/>
  <c r="D42" i="82"/>
  <c r="D41" i="82"/>
  <c r="D40" i="82"/>
  <c r="D39" i="82"/>
  <c r="D38" i="82"/>
  <c r="D33" i="82"/>
  <c r="D32" i="82"/>
  <c r="D31" i="82"/>
  <c r="D30" i="82"/>
  <c r="F27" i="119" a="1"/>
  <c r="F27" i="119" s="1"/>
  <c r="E27" i="119" a="1"/>
  <c r="E27" i="119" s="1"/>
  <c r="D27" i="119" a="1"/>
  <c r="D27" i="119" s="1"/>
  <c r="F26" i="119" a="1"/>
  <c r="F26" i="119" s="1"/>
  <c r="E26" i="119" a="1"/>
  <c r="E26" i="119" s="1"/>
  <c r="D26" i="119" a="1"/>
  <c r="D26" i="119" s="1"/>
  <c r="F25" i="119" a="1"/>
  <c r="F25" i="119" s="1"/>
  <c r="E25" i="119" a="1"/>
  <c r="E25" i="119" s="1"/>
  <c r="D25" i="119" a="1"/>
  <c r="D25" i="119" s="1"/>
  <c r="F24" i="119" a="1"/>
  <c r="F24" i="119" s="1"/>
  <c r="E24" i="119" a="1"/>
  <c r="E24" i="119" s="1"/>
  <c r="D24" i="119" a="1"/>
  <c r="D24" i="119" s="1"/>
  <c r="F23" i="119" a="1"/>
  <c r="F23" i="119" s="1"/>
  <c r="E23" i="119" a="1"/>
  <c r="E23" i="119" s="1"/>
  <c r="D23" i="119" a="1"/>
  <c r="D23" i="119" s="1"/>
  <c r="F22" i="119" a="1"/>
  <c r="F22" i="119" s="1"/>
  <c r="E22" i="119" a="1"/>
  <c r="E22" i="119" s="1"/>
  <c r="D22" i="119" a="1"/>
  <c r="D22" i="119" s="1"/>
  <c r="F21" i="119" a="1"/>
  <c r="F21" i="119" s="1"/>
  <c r="E21" i="119" a="1"/>
  <c r="E21" i="119" s="1"/>
  <c r="D21" i="119" a="1"/>
  <c r="D21" i="119" s="1"/>
  <c r="F20" i="119" a="1"/>
  <c r="F20" i="119" s="1"/>
  <c r="E20" i="119" a="1"/>
  <c r="E20" i="119" s="1"/>
  <c r="D20" i="119" a="1"/>
  <c r="D20" i="119" s="1"/>
  <c r="F19" i="119" a="1"/>
  <c r="F19" i="119" s="1"/>
  <c r="E19" i="119" a="1"/>
  <c r="E19" i="119" s="1"/>
  <c r="D19" i="119" a="1"/>
  <c r="D19" i="119" s="1"/>
  <c r="F18" i="119" a="1"/>
  <c r="F18" i="119" s="1"/>
  <c r="E18" i="119" a="1"/>
  <c r="E18" i="119" s="1"/>
  <c r="D18" i="119" a="1"/>
  <c r="D18" i="119" s="1"/>
  <c r="F17" i="119" a="1"/>
  <c r="F17" i="119" s="1"/>
  <c r="E17" i="119" a="1"/>
  <c r="E17" i="119" s="1"/>
  <c r="D17" i="119" a="1"/>
  <c r="D17" i="119" s="1"/>
  <c r="F16" i="119" a="1"/>
  <c r="F16" i="119" s="1"/>
  <c r="E16" i="119" a="1"/>
  <c r="E16" i="119" s="1"/>
  <c r="D16" i="119" a="1"/>
  <c r="D16" i="119" s="1"/>
  <c r="F15" i="119" a="1"/>
  <c r="F15" i="119" s="1"/>
  <c r="E15" i="119" a="1"/>
  <c r="E15" i="119" s="1"/>
  <c r="D15" i="119" a="1"/>
  <c r="D15" i="119" s="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D8" i="119" a="1"/>
  <c r="D8" i="119" s="1"/>
  <c r="D7" i="119" a="1"/>
  <c r="D7" i="119" s="1"/>
  <c r="D6" i="119" a="1"/>
  <c r="D6" i="119" s="1"/>
  <c r="I247" i="118" a="1"/>
  <c r="I247" i="118" s="1"/>
  <c r="H247" i="118" a="1"/>
  <c r="H247" i="118" s="1"/>
  <c r="G247" i="118" a="1"/>
  <c r="G247" i="118" s="1"/>
  <c r="F247" i="118" a="1"/>
  <c r="F247" i="118" s="1"/>
  <c r="E247" i="118" a="1"/>
  <c r="E247" i="118" s="1"/>
  <c r="D247" i="118" a="1"/>
  <c r="D247" i="118" s="1"/>
  <c r="I246" i="118" a="1"/>
  <c r="I246" i="118" s="1"/>
  <c r="H246" i="118" a="1"/>
  <c r="H246" i="118" s="1"/>
  <c r="G246" i="118" a="1"/>
  <c r="G246" i="118" s="1"/>
  <c r="F246" i="118" a="1"/>
  <c r="F246" i="118" s="1"/>
  <c r="E246" i="118" a="1"/>
  <c r="E246" i="118" s="1"/>
  <c r="D246" i="118" a="1"/>
  <c r="D246" i="118" s="1"/>
  <c r="I245" i="118" a="1"/>
  <c r="I245" i="118" s="1"/>
  <c r="H245" i="118" a="1"/>
  <c r="H245" i="118" s="1"/>
  <c r="G245" i="118" a="1"/>
  <c r="G245" i="118" s="1"/>
  <c r="F245" i="118" a="1"/>
  <c r="F245" i="118" s="1"/>
  <c r="E245" i="118" a="1"/>
  <c r="E245" i="118" s="1"/>
  <c r="D245" i="118" a="1"/>
  <c r="D245" i="118" s="1"/>
  <c r="I244" i="118" a="1"/>
  <c r="I244" i="118" s="1"/>
  <c r="H244" i="118" a="1"/>
  <c r="H244" i="118" s="1"/>
  <c r="G244" i="118" a="1"/>
  <c r="G244" i="118" s="1"/>
  <c r="F244" i="118" a="1"/>
  <c r="F244" i="118" s="1"/>
  <c r="E244" i="118" a="1"/>
  <c r="E244" i="118" s="1"/>
  <c r="D244" i="118" a="1"/>
  <c r="D244" i="118" s="1"/>
  <c r="I243" i="118" a="1"/>
  <c r="I243" i="118" s="1"/>
  <c r="H243" i="118" a="1"/>
  <c r="H243" i="118" s="1"/>
  <c r="G243" i="118" a="1"/>
  <c r="G243" i="118" s="1"/>
  <c r="F243" i="118" a="1"/>
  <c r="F243" i="118" s="1"/>
  <c r="M243" i="118" s="1"/>
  <c r="E243" i="118" a="1"/>
  <c r="E243" i="118" s="1"/>
  <c r="L243" i="118" s="1"/>
  <c r="D243" i="118" a="1"/>
  <c r="D243" i="118" s="1"/>
  <c r="I242" i="118" a="1"/>
  <c r="I242" i="118" s="1"/>
  <c r="H242" i="118" a="1"/>
  <c r="H242" i="118" s="1"/>
  <c r="G242" i="118" a="1"/>
  <c r="G242" i="118" s="1"/>
  <c r="F242" i="118" a="1"/>
  <c r="F242" i="118" s="1"/>
  <c r="M242" i="118" s="1"/>
  <c r="E242" i="118" a="1"/>
  <c r="E242" i="118" s="1"/>
  <c r="D242" i="118" a="1"/>
  <c r="D242" i="118" s="1"/>
  <c r="I237" i="118" a="1"/>
  <c r="I237" i="118" s="1"/>
  <c r="H237" i="118" a="1"/>
  <c r="H237" i="118" s="1"/>
  <c r="G237" i="118" a="1"/>
  <c r="G237" i="118" s="1"/>
  <c r="F237" i="118" a="1"/>
  <c r="F237" i="118" s="1"/>
  <c r="E237" i="118" a="1"/>
  <c r="E237" i="118" s="1"/>
  <c r="D237" i="118" a="1"/>
  <c r="D237" i="118" s="1"/>
  <c r="I236" i="118" a="1"/>
  <c r="I236" i="118" s="1"/>
  <c r="H236" i="118" a="1"/>
  <c r="H236" i="118" s="1"/>
  <c r="G236" i="118" a="1"/>
  <c r="G236" i="118" s="1"/>
  <c r="F236" i="118" a="1"/>
  <c r="F236" i="118" s="1"/>
  <c r="E236" i="118" a="1"/>
  <c r="E236" i="118" s="1"/>
  <c r="D236" i="118" a="1"/>
  <c r="D236" i="118" s="1"/>
  <c r="I235" i="118"/>
  <c r="I235" i="118" a="1"/>
  <c r="H235" i="118" a="1"/>
  <c r="H235" i="118" s="1"/>
  <c r="G235" i="118" a="1"/>
  <c r="G235" i="118" s="1"/>
  <c r="F235" i="118" a="1"/>
  <c r="F235" i="118" s="1"/>
  <c r="E235" i="118" a="1"/>
  <c r="E235" i="118" s="1"/>
  <c r="D235" i="118" a="1"/>
  <c r="D235" i="118" s="1"/>
  <c r="I231" i="118" a="1"/>
  <c r="I231" i="118" s="1"/>
  <c r="H231" i="118" a="1"/>
  <c r="H231" i="118" s="1"/>
  <c r="G231" i="118" a="1"/>
  <c r="G231" i="118" s="1"/>
  <c r="F231" i="118" a="1"/>
  <c r="F231" i="118" s="1"/>
  <c r="E231" i="118" a="1"/>
  <c r="E231" i="118" s="1"/>
  <c r="D231" i="118" a="1"/>
  <c r="D231" i="118" s="1"/>
  <c r="I230" i="118" a="1"/>
  <c r="I230" i="118" s="1"/>
  <c r="H230" i="118" a="1"/>
  <c r="H230" i="118" s="1"/>
  <c r="G230" i="118" a="1"/>
  <c r="G230" i="118" s="1"/>
  <c r="F230" i="118"/>
  <c r="F230" i="118" a="1"/>
  <c r="E230" i="118" a="1"/>
  <c r="E230" i="118" s="1"/>
  <c r="D230" i="118" a="1"/>
  <c r="D230" i="118" s="1"/>
  <c r="I229" i="118" a="1"/>
  <c r="I229" i="118" s="1"/>
  <c r="H229" i="118" a="1"/>
  <c r="H229" i="118" s="1"/>
  <c r="G229" i="118" a="1"/>
  <c r="G229" i="118" s="1"/>
  <c r="F229" i="118" a="1"/>
  <c r="F229" i="118" s="1"/>
  <c r="E229" i="118" a="1"/>
  <c r="E229" i="118" s="1"/>
  <c r="D229" i="118" a="1"/>
  <c r="D229" i="118" s="1"/>
  <c r="I228" i="118" a="1"/>
  <c r="I228" i="118" s="1"/>
  <c r="H228" i="118" a="1"/>
  <c r="H228" i="118" s="1"/>
  <c r="G228" i="118" a="1"/>
  <c r="G228" i="118" s="1"/>
  <c r="F228" i="118" a="1"/>
  <c r="F228" i="118" s="1"/>
  <c r="E228" i="118" a="1"/>
  <c r="E228" i="118" s="1"/>
  <c r="D228" i="118" a="1"/>
  <c r="D228" i="118" s="1"/>
  <c r="I227" i="118" a="1"/>
  <c r="I227" i="118" s="1"/>
  <c r="H227" i="118" a="1"/>
  <c r="H227" i="118" s="1"/>
  <c r="G227" i="118" a="1"/>
  <c r="G227" i="118" s="1"/>
  <c r="F227" i="118" a="1"/>
  <c r="F227" i="118" s="1"/>
  <c r="E227" i="118" a="1"/>
  <c r="E227" i="118" s="1"/>
  <c r="D227" i="118" a="1"/>
  <c r="D227" i="118" s="1"/>
  <c r="I226" i="118" a="1"/>
  <c r="I226" i="118" s="1"/>
  <c r="H226" i="118" a="1"/>
  <c r="H226" i="118" s="1"/>
  <c r="G226" i="118" a="1"/>
  <c r="G226" i="118" s="1"/>
  <c r="F226" i="118" a="1"/>
  <c r="F226" i="118" s="1"/>
  <c r="E226" i="118" a="1"/>
  <c r="E226" i="118" s="1"/>
  <c r="D226" i="118" a="1"/>
  <c r="D226" i="118" s="1"/>
  <c r="I225" i="118" a="1"/>
  <c r="I225" i="118" s="1"/>
  <c r="H225" i="118" a="1"/>
  <c r="H225" i="118" s="1"/>
  <c r="G225" i="118" a="1"/>
  <c r="G225" i="118" s="1"/>
  <c r="F225" i="118" a="1"/>
  <c r="F225" i="118" s="1"/>
  <c r="E225" i="118" a="1"/>
  <c r="E225" i="118" s="1"/>
  <c r="D225" i="118" a="1"/>
  <c r="D225" i="118" s="1"/>
  <c r="I224" i="118" a="1"/>
  <c r="I224" i="118" s="1"/>
  <c r="H224" i="118" a="1"/>
  <c r="H224" i="118" s="1"/>
  <c r="G224" i="118" a="1"/>
  <c r="G224" i="118" s="1"/>
  <c r="F224" i="118" a="1"/>
  <c r="F224" i="118" s="1"/>
  <c r="E224" i="118" a="1"/>
  <c r="E224" i="118" s="1"/>
  <c r="D224" i="118" a="1"/>
  <c r="D224" i="118" s="1"/>
  <c r="I223" i="118" a="1"/>
  <c r="I223" i="118" s="1"/>
  <c r="H223" i="118" a="1"/>
  <c r="H223" i="118" s="1"/>
  <c r="G223" i="118" a="1"/>
  <c r="G223" i="118" s="1"/>
  <c r="F223" i="118"/>
  <c r="F223" i="118" a="1"/>
  <c r="E223" i="118" a="1"/>
  <c r="E223" i="118" s="1"/>
  <c r="D223" i="118" a="1"/>
  <c r="D223" i="118" s="1"/>
  <c r="I222" i="118" a="1"/>
  <c r="I222" i="118" s="1"/>
  <c r="H222" i="118" a="1"/>
  <c r="H222" i="118" s="1"/>
  <c r="G222" i="118" a="1"/>
  <c r="G222" i="118" s="1"/>
  <c r="F222" i="118" a="1"/>
  <c r="F222" i="118" s="1"/>
  <c r="E222" i="118" a="1"/>
  <c r="E222" i="118" s="1"/>
  <c r="D222" i="118" a="1"/>
  <c r="D222" i="118" s="1"/>
  <c r="I221" i="118" a="1"/>
  <c r="I221" i="118" s="1"/>
  <c r="H221" i="118" a="1"/>
  <c r="H221" i="118" s="1"/>
  <c r="G221" i="118" a="1"/>
  <c r="G221" i="118" s="1"/>
  <c r="F221" i="118" a="1"/>
  <c r="F221" i="118" s="1"/>
  <c r="E221" i="118" a="1"/>
  <c r="E221" i="118" s="1"/>
  <c r="D221" i="118" a="1"/>
  <c r="D221" i="118" s="1"/>
  <c r="I220" i="118" a="1"/>
  <c r="I220" i="118" s="1"/>
  <c r="H220" i="118" a="1"/>
  <c r="H220" i="118" s="1"/>
  <c r="G220" i="118" a="1"/>
  <c r="G220" i="118" s="1"/>
  <c r="F220" i="118" a="1"/>
  <c r="F220" i="118" s="1"/>
  <c r="E220" i="118" a="1"/>
  <c r="E220" i="118" s="1"/>
  <c r="D285" i="116" s="1" a="1"/>
  <c r="D220" i="118" a="1"/>
  <c r="D220" i="118" s="1"/>
  <c r="I216" i="118" a="1"/>
  <c r="I216" i="118" s="1"/>
  <c r="H216" i="118" a="1"/>
  <c r="H216" i="118" s="1"/>
  <c r="G216" i="118" a="1"/>
  <c r="G216" i="118" s="1"/>
  <c r="F216" i="118" a="1"/>
  <c r="F216" i="118" s="1"/>
  <c r="E216" i="118" a="1"/>
  <c r="E216" i="118" s="1"/>
  <c r="D216" i="118" a="1"/>
  <c r="D216" i="118" s="1"/>
  <c r="I215" i="118" a="1"/>
  <c r="I215" i="118" s="1"/>
  <c r="H215" i="118" a="1"/>
  <c r="H215" i="118" s="1"/>
  <c r="G215" i="118" a="1"/>
  <c r="G215" i="118" s="1"/>
  <c r="F215" i="118" a="1"/>
  <c r="F215" i="118" s="1"/>
  <c r="E215" i="118" a="1"/>
  <c r="E215" i="118" s="1"/>
  <c r="D215" i="118" a="1"/>
  <c r="D215" i="118" s="1"/>
  <c r="I214" i="118" a="1"/>
  <c r="I214" i="118" s="1"/>
  <c r="H214" i="118" a="1"/>
  <c r="H214" i="118" s="1"/>
  <c r="G214" i="118" a="1"/>
  <c r="G214" i="118" s="1"/>
  <c r="F214" i="118" a="1"/>
  <c r="F214" i="118" s="1"/>
  <c r="E214" i="118" a="1"/>
  <c r="E214" i="118" s="1"/>
  <c r="D214" i="118" a="1"/>
  <c r="D214" i="118" s="1"/>
  <c r="I213" i="118" a="1"/>
  <c r="I213" i="118" s="1"/>
  <c r="H213" i="118" a="1"/>
  <c r="H213" i="118" s="1"/>
  <c r="G213" i="118" a="1"/>
  <c r="G213" i="118" s="1"/>
  <c r="F213" i="118" a="1"/>
  <c r="F213" i="118" s="1"/>
  <c r="E213" i="118" a="1"/>
  <c r="E213" i="118" s="1"/>
  <c r="G389" i="116" s="1" a="1"/>
  <c r="G389" i="116" s="1"/>
  <c r="D213" i="118" a="1"/>
  <c r="D213" i="118" s="1"/>
  <c r="I209" i="118"/>
  <c r="I209" i="118" a="1"/>
  <c r="H209" i="118" a="1"/>
  <c r="H209" i="118" s="1"/>
  <c r="G209" i="118" a="1"/>
  <c r="G209" i="118" s="1"/>
  <c r="F209" i="118" a="1"/>
  <c r="F209" i="118" s="1"/>
  <c r="E209" i="118" a="1"/>
  <c r="E209" i="118" s="1"/>
  <c r="D209" i="118" a="1"/>
  <c r="D209" i="118" s="1"/>
  <c r="I208" i="118" a="1"/>
  <c r="I208" i="118" s="1"/>
  <c r="H208" i="118" a="1"/>
  <c r="H208" i="118" s="1"/>
  <c r="G208" i="118" a="1"/>
  <c r="G208" i="118" s="1"/>
  <c r="F208" i="118" a="1"/>
  <c r="F208" i="118" s="1"/>
  <c r="E208" i="118" a="1"/>
  <c r="E208" i="118" s="1"/>
  <c r="D208" i="118" a="1"/>
  <c r="D208" i="118" s="1"/>
  <c r="I207" i="118" a="1"/>
  <c r="I207" i="118" s="1"/>
  <c r="H207" i="118" a="1"/>
  <c r="H207" i="118" s="1"/>
  <c r="G207" i="118" a="1"/>
  <c r="G207" i="118" s="1"/>
  <c r="F207" i="118" a="1"/>
  <c r="F207" i="118" s="1"/>
  <c r="E207" i="118" a="1"/>
  <c r="E207" i="118" s="1"/>
  <c r="D207" i="118" a="1"/>
  <c r="D207" i="118" s="1"/>
  <c r="I206" i="118" a="1"/>
  <c r="I206" i="118" s="1"/>
  <c r="H206" i="118" a="1"/>
  <c r="H206" i="118" s="1"/>
  <c r="G206" i="118" a="1"/>
  <c r="G206" i="118" s="1"/>
  <c r="F206" i="118" a="1"/>
  <c r="F206" i="118" s="1"/>
  <c r="E206" i="118" a="1"/>
  <c r="E206" i="118" s="1"/>
  <c r="D206" i="118" a="1"/>
  <c r="D206" i="118" s="1"/>
  <c r="I205" i="118" a="1"/>
  <c r="I205" i="118" s="1"/>
  <c r="H205" i="118" a="1"/>
  <c r="H205" i="118" s="1"/>
  <c r="G205" i="118" a="1"/>
  <c r="G205" i="118" s="1"/>
  <c r="F205" i="118" a="1"/>
  <c r="F205" i="118" s="1"/>
  <c r="E205" i="118" a="1"/>
  <c r="E205" i="118" s="1"/>
  <c r="D205" i="118" a="1"/>
  <c r="D205" i="118" s="1"/>
  <c r="I204" i="118" a="1"/>
  <c r="I204" i="118" s="1"/>
  <c r="H204" i="118" a="1"/>
  <c r="H204" i="118" s="1"/>
  <c r="G204" i="118"/>
  <c r="G204" i="118" a="1"/>
  <c r="F204" i="118" a="1"/>
  <c r="F204" i="118" s="1"/>
  <c r="E204" i="118" a="1"/>
  <c r="E204" i="118" s="1"/>
  <c r="D204" i="118" a="1"/>
  <c r="D204" i="118" s="1"/>
  <c r="I203" i="118"/>
  <c r="I203" i="118" a="1"/>
  <c r="H203" i="118" a="1"/>
  <c r="H203" i="118" s="1"/>
  <c r="G203" i="118" a="1"/>
  <c r="G203" i="118" s="1"/>
  <c r="F203" i="118" a="1"/>
  <c r="F203" i="118" s="1"/>
  <c r="E203" i="118" a="1"/>
  <c r="E203" i="118" s="1"/>
  <c r="D48" i="113" s="1"/>
  <c r="D495" i="116" s="1"/>
  <c r="F495" i="116" s="1" a="1"/>
  <c r="F495" i="116" s="1"/>
  <c r="D203" i="118" a="1"/>
  <c r="D203" i="118" s="1"/>
  <c r="I202" i="118" a="1"/>
  <c r="I202" i="118" s="1"/>
  <c r="H202" i="118" a="1"/>
  <c r="H202" i="118" s="1"/>
  <c r="G202" i="118"/>
  <c r="G202" i="118" a="1"/>
  <c r="F202" i="118" a="1"/>
  <c r="F202" i="118" s="1"/>
  <c r="E202" i="118" a="1"/>
  <c r="E202" i="118" s="1"/>
  <c r="D202" i="118" a="1"/>
  <c r="D202" i="118" s="1"/>
  <c r="M198" i="118" a="1"/>
  <c r="M198" i="118" s="1"/>
  <c r="L198" i="118" a="1"/>
  <c r="L198" i="118" s="1"/>
  <c r="K198" i="118" a="1"/>
  <c r="K198" i="118" s="1"/>
  <c r="F198" i="118" a="1"/>
  <c r="F198" i="118" s="1"/>
  <c r="E198" i="118" a="1"/>
  <c r="E198" i="118" s="1"/>
  <c r="D198" i="118" a="1"/>
  <c r="D198" i="118" s="1"/>
  <c r="M197" i="118" a="1"/>
  <c r="M197" i="118" s="1"/>
  <c r="L197" i="118" a="1"/>
  <c r="L197" i="118" s="1"/>
  <c r="K197" i="118" a="1"/>
  <c r="K197" i="118" s="1"/>
  <c r="F197" i="118" a="1"/>
  <c r="F197" i="118" s="1"/>
  <c r="E197" i="118" a="1"/>
  <c r="E197" i="118" s="1"/>
  <c r="D197" i="118" a="1"/>
  <c r="D197" i="118" s="1"/>
  <c r="M196" i="118" a="1"/>
  <c r="M196" i="118" s="1"/>
  <c r="L196" i="118" a="1"/>
  <c r="L196" i="118" s="1"/>
  <c r="K196" i="118" a="1"/>
  <c r="K196" i="118" s="1"/>
  <c r="F196" i="118" a="1"/>
  <c r="F196" i="118" s="1"/>
  <c r="E196" i="118" a="1"/>
  <c r="E196" i="118" s="1"/>
  <c r="D196" i="118" a="1"/>
  <c r="D196" i="118" s="1"/>
  <c r="M195" i="118" a="1"/>
  <c r="M195" i="118" s="1"/>
  <c r="L195" i="118" a="1"/>
  <c r="L195" i="118" s="1"/>
  <c r="K195" i="118" a="1"/>
  <c r="K195" i="118" s="1"/>
  <c r="F195" i="118" a="1"/>
  <c r="F195" i="118" s="1"/>
  <c r="E195" i="118" a="1"/>
  <c r="E195" i="118" s="1"/>
  <c r="D195" i="118" a="1"/>
  <c r="D195" i="118" s="1"/>
  <c r="M194" i="118" a="1"/>
  <c r="M194" i="118" s="1"/>
  <c r="L194" i="118" a="1"/>
  <c r="L194" i="118" s="1"/>
  <c r="K194" i="118" a="1"/>
  <c r="K194" i="118" s="1"/>
  <c r="F194" i="118" a="1"/>
  <c r="F194" i="118" s="1"/>
  <c r="E194" i="118" a="1"/>
  <c r="E194" i="118" s="1"/>
  <c r="D194" i="118" a="1"/>
  <c r="D194" i="118" s="1"/>
  <c r="M193" i="118" a="1"/>
  <c r="M193" i="118" s="1"/>
  <c r="L193" i="118" a="1"/>
  <c r="L193" i="118" s="1"/>
  <c r="K193" i="118" a="1"/>
  <c r="K193" i="118" s="1"/>
  <c r="F193" i="118" a="1"/>
  <c r="F193" i="118" s="1"/>
  <c r="E193" i="118" a="1"/>
  <c r="E193" i="118" s="1"/>
  <c r="D193" i="118" a="1"/>
  <c r="D193" i="118" s="1"/>
  <c r="M192" i="118" a="1"/>
  <c r="M192" i="118" s="1"/>
  <c r="L192" i="118" a="1"/>
  <c r="L192" i="118" s="1"/>
  <c r="K192" i="118" a="1"/>
  <c r="K192" i="118" s="1"/>
  <c r="F192" i="118" a="1"/>
  <c r="F192" i="118" s="1"/>
  <c r="E192" i="118" a="1"/>
  <c r="E192" i="118" s="1"/>
  <c r="D192" i="118" a="1"/>
  <c r="D192" i="118" s="1"/>
  <c r="M191" i="118" a="1"/>
  <c r="M191" i="118" s="1"/>
  <c r="L191" i="118" a="1"/>
  <c r="L191" i="118" s="1"/>
  <c r="K191" i="118" a="1"/>
  <c r="K191" i="118" s="1"/>
  <c r="F191" i="118" a="1"/>
  <c r="F191" i="118" s="1"/>
  <c r="E191" i="118" a="1"/>
  <c r="E191" i="118" s="1"/>
  <c r="D191" i="118" a="1"/>
  <c r="D191" i="118" s="1"/>
  <c r="M190" i="118" a="1"/>
  <c r="M190" i="118" s="1"/>
  <c r="L190" i="118" a="1"/>
  <c r="L190" i="118" s="1"/>
  <c r="K190" i="118" a="1"/>
  <c r="K190" i="118" s="1"/>
  <c r="F190" i="118" a="1"/>
  <c r="F190" i="118" s="1"/>
  <c r="E190" i="118" a="1"/>
  <c r="E190" i="118" s="1"/>
  <c r="D190" i="118" a="1"/>
  <c r="D190" i="118" s="1"/>
  <c r="M189" i="118" a="1"/>
  <c r="M189" i="118" s="1"/>
  <c r="L189" i="118" a="1"/>
  <c r="L189" i="118" s="1"/>
  <c r="K189" i="118" a="1"/>
  <c r="K189" i="118" s="1"/>
  <c r="F189" i="118" a="1"/>
  <c r="F189" i="118" s="1"/>
  <c r="E189" i="118" a="1"/>
  <c r="E189" i="118" s="1"/>
  <c r="D189" i="118" a="1"/>
  <c r="D189" i="118" s="1"/>
  <c r="M188" i="118" a="1"/>
  <c r="M188" i="118" s="1"/>
  <c r="L188" i="118" a="1"/>
  <c r="L188" i="118" s="1"/>
  <c r="K188" i="118" a="1"/>
  <c r="K188" i="118" s="1"/>
  <c r="F188" i="118" a="1"/>
  <c r="F188" i="118" s="1"/>
  <c r="E188" i="118" a="1"/>
  <c r="E188" i="118" s="1"/>
  <c r="D188" i="118" a="1"/>
  <c r="D188" i="118" s="1"/>
  <c r="M187" i="118" a="1"/>
  <c r="M187" i="118" s="1"/>
  <c r="L187" i="118" a="1"/>
  <c r="L187" i="118" s="1"/>
  <c r="K187" i="118" a="1"/>
  <c r="K187" i="118" s="1"/>
  <c r="F187" i="118" a="1"/>
  <c r="F187" i="118" s="1"/>
  <c r="E187" i="118" a="1"/>
  <c r="E187" i="118" s="1"/>
  <c r="D187" i="118" a="1"/>
  <c r="D187" i="118" s="1"/>
  <c r="M186" i="118" a="1"/>
  <c r="M186" i="118" s="1"/>
  <c r="L186" i="118" a="1"/>
  <c r="L186" i="118" s="1"/>
  <c r="K186" i="118" a="1"/>
  <c r="K186" i="118" s="1"/>
  <c r="F186" i="118" a="1"/>
  <c r="F186" i="118" s="1"/>
  <c r="E186" i="118" a="1"/>
  <c r="E186" i="118" s="1"/>
  <c r="D186" i="118" a="1"/>
  <c r="D186" i="118" s="1"/>
  <c r="M185" i="118" a="1"/>
  <c r="M185" i="118" s="1"/>
  <c r="L185" i="118" a="1"/>
  <c r="L185" i="118" s="1"/>
  <c r="K185" i="118" a="1"/>
  <c r="K185" i="118" s="1"/>
  <c r="F185" i="118" a="1"/>
  <c r="F185" i="118" s="1"/>
  <c r="E185" i="118" a="1"/>
  <c r="E185" i="118" s="1"/>
  <c r="D185" i="118"/>
  <c r="D185" i="118" a="1"/>
  <c r="M184" i="118" a="1"/>
  <c r="M184" i="118" s="1"/>
  <c r="L184" i="118" a="1"/>
  <c r="L184" i="118" s="1"/>
  <c r="K184" i="118" a="1"/>
  <c r="K184" i="118" s="1"/>
  <c r="F184" i="118" a="1"/>
  <c r="F184" i="118" s="1"/>
  <c r="E184" i="118" a="1"/>
  <c r="E184" i="118" s="1"/>
  <c r="D184" i="118" a="1"/>
  <c r="D184" i="118" s="1"/>
  <c r="M183" i="118" a="1"/>
  <c r="M183" i="118" s="1"/>
  <c r="L183" i="118" a="1"/>
  <c r="L183" i="118" s="1"/>
  <c r="K183" i="118" a="1"/>
  <c r="K183" i="118" s="1"/>
  <c r="F183" i="118" a="1"/>
  <c r="F183" i="118" s="1"/>
  <c r="E183" i="118" a="1"/>
  <c r="E183" i="118" s="1"/>
  <c r="D183" i="118" a="1"/>
  <c r="D183" i="118" s="1"/>
  <c r="M182" i="118" a="1"/>
  <c r="M182" i="118" s="1"/>
  <c r="L182" i="118" a="1"/>
  <c r="L182" i="118" s="1"/>
  <c r="K182" i="118" a="1"/>
  <c r="K182" i="118" s="1"/>
  <c r="F182" i="118" a="1"/>
  <c r="F182" i="118" s="1"/>
  <c r="E182" i="118" a="1"/>
  <c r="E182" i="118" s="1"/>
  <c r="D182" i="118" a="1"/>
  <c r="D182" i="118" s="1"/>
  <c r="M181" i="118" a="1"/>
  <c r="M181" i="118" s="1"/>
  <c r="L181" i="118" a="1"/>
  <c r="L181" i="118" s="1"/>
  <c r="K181" i="118" a="1"/>
  <c r="K181" i="118" s="1"/>
  <c r="F181" i="118" a="1"/>
  <c r="F181" i="118" s="1"/>
  <c r="E181" i="118" a="1"/>
  <c r="E181" i="118" s="1"/>
  <c r="D181" i="118" a="1"/>
  <c r="D181" i="118" s="1"/>
  <c r="M180" i="118" a="1"/>
  <c r="M180" i="118" s="1"/>
  <c r="L180" i="118" a="1"/>
  <c r="L180" i="118" s="1"/>
  <c r="K180" i="118" a="1"/>
  <c r="K180" i="118" s="1"/>
  <c r="F180" i="118" a="1"/>
  <c r="F180" i="118" s="1"/>
  <c r="E180" i="118" a="1"/>
  <c r="E180" i="118" s="1"/>
  <c r="D180" i="118" a="1"/>
  <c r="D180" i="118" s="1"/>
  <c r="M179" i="118" a="1"/>
  <c r="M179" i="118" s="1"/>
  <c r="L179" i="118" a="1"/>
  <c r="L179" i="118" s="1"/>
  <c r="K179" i="118" a="1"/>
  <c r="K179" i="118" s="1"/>
  <c r="F179" i="118" a="1"/>
  <c r="F179" i="118" s="1"/>
  <c r="E179" i="118" a="1"/>
  <c r="E179" i="118" s="1"/>
  <c r="D179" i="118" a="1"/>
  <c r="D179" i="118" s="1"/>
  <c r="M178" i="118" a="1"/>
  <c r="M178" i="118" s="1"/>
  <c r="L178" i="118" a="1"/>
  <c r="L178" i="118" s="1"/>
  <c r="K178" i="118" a="1"/>
  <c r="K178" i="118" s="1"/>
  <c r="F178" i="118" a="1"/>
  <c r="F178" i="118" s="1"/>
  <c r="E178" i="118" a="1"/>
  <c r="E178" i="118" s="1"/>
  <c r="D178" i="118" a="1"/>
  <c r="D178" i="118" s="1"/>
  <c r="M177" i="118" a="1"/>
  <c r="M177" i="118" s="1"/>
  <c r="L177" i="118" a="1"/>
  <c r="L177" i="118" s="1"/>
  <c r="K177" i="118" a="1"/>
  <c r="K177" i="118" s="1"/>
  <c r="F177" i="118" a="1"/>
  <c r="F177" i="118" s="1"/>
  <c r="E177" i="118" a="1"/>
  <c r="E177" i="118" s="1"/>
  <c r="D177" i="118" a="1"/>
  <c r="D177" i="118" s="1"/>
  <c r="M176" i="118" a="1"/>
  <c r="M176" i="118" s="1"/>
  <c r="L176" i="118" a="1"/>
  <c r="L176" i="118" s="1"/>
  <c r="K176" i="118" a="1"/>
  <c r="K176" i="118" s="1"/>
  <c r="F176" i="118" a="1"/>
  <c r="F176" i="118" s="1"/>
  <c r="E176" i="118" a="1"/>
  <c r="E176" i="118" s="1"/>
  <c r="D176" i="118" a="1"/>
  <c r="D176" i="118" s="1"/>
  <c r="M175" i="118" a="1"/>
  <c r="M175" i="118" s="1"/>
  <c r="L175" i="118" a="1"/>
  <c r="L175" i="118" s="1"/>
  <c r="K175" i="118" a="1"/>
  <c r="K175" i="118" s="1"/>
  <c r="F175" i="118" a="1"/>
  <c r="F175" i="118" s="1"/>
  <c r="E175" i="118" a="1"/>
  <c r="E175" i="118" s="1"/>
  <c r="D175" i="118" a="1"/>
  <c r="D175" i="118" s="1"/>
  <c r="M174" i="118" a="1"/>
  <c r="M174" i="118" s="1"/>
  <c r="L174" i="118" a="1"/>
  <c r="L174" i="118" s="1"/>
  <c r="K174" i="118" a="1"/>
  <c r="K174" i="118" s="1"/>
  <c r="F174" i="118" a="1"/>
  <c r="F174" i="118" s="1"/>
  <c r="E174" i="118" a="1"/>
  <c r="E174" i="118" s="1"/>
  <c r="D174" i="118" a="1"/>
  <c r="D174" i="118" s="1"/>
  <c r="I170" i="118" a="1"/>
  <c r="I170" i="118" s="1"/>
  <c r="H170" i="118" a="1"/>
  <c r="H170" i="118" s="1"/>
  <c r="G170" i="118" a="1"/>
  <c r="G170" i="118" s="1"/>
  <c r="F170" i="118" a="1"/>
  <c r="F170" i="118" s="1"/>
  <c r="E170" i="118" a="1"/>
  <c r="E170" i="118" s="1"/>
  <c r="D170" i="118" a="1"/>
  <c r="D170" i="118" s="1"/>
  <c r="I169" i="118" a="1"/>
  <c r="I169" i="118" s="1"/>
  <c r="H169" i="118" a="1"/>
  <c r="H169" i="118" s="1"/>
  <c r="G169" i="118" a="1"/>
  <c r="G169" i="118" s="1"/>
  <c r="F169" i="118" a="1"/>
  <c r="F169" i="118" s="1"/>
  <c r="E169" i="118" a="1"/>
  <c r="E169" i="118" s="1"/>
  <c r="D169" i="118" a="1"/>
  <c r="D169" i="118" s="1"/>
  <c r="I168" i="118" a="1"/>
  <c r="I168" i="118" s="1"/>
  <c r="H168" i="118" a="1"/>
  <c r="H168" i="118" s="1"/>
  <c r="G168" i="118" a="1"/>
  <c r="G168" i="118" s="1"/>
  <c r="F168" i="118" a="1"/>
  <c r="F168" i="118" s="1"/>
  <c r="E168" i="118" a="1"/>
  <c r="E168" i="118" s="1"/>
  <c r="D7" i="113" s="1" a="1"/>
  <c r="D168" i="118" a="1"/>
  <c r="D168" i="118" s="1"/>
  <c r="I165" i="118" a="1"/>
  <c r="I165" i="118" s="1"/>
  <c r="H165" i="118" a="1"/>
  <c r="H165" i="118" s="1"/>
  <c r="G165" i="118" a="1"/>
  <c r="G165" i="118" s="1"/>
  <c r="F165" i="118" a="1"/>
  <c r="F165" i="118" s="1"/>
  <c r="E165" i="118" a="1"/>
  <c r="E165" i="118" s="1"/>
  <c r="D165" i="118" a="1"/>
  <c r="D165" i="118" s="1"/>
  <c r="I164" i="118" a="1"/>
  <c r="I164" i="118" s="1"/>
  <c r="H164" i="118" a="1"/>
  <c r="H164" i="118" s="1"/>
  <c r="G164" i="118" a="1"/>
  <c r="G164" i="118" s="1"/>
  <c r="F164" i="118" a="1"/>
  <c r="F164" i="118" s="1"/>
  <c r="E164" i="118" a="1"/>
  <c r="E164" i="118" s="1"/>
  <c r="D164" i="118" a="1"/>
  <c r="D164" i="118" s="1"/>
  <c r="I163" i="118" a="1"/>
  <c r="I163" i="118" s="1"/>
  <c r="H163" i="118" a="1"/>
  <c r="H163" i="118" s="1"/>
  <c r="G163" i="118" a="1"/>
  <c r="G163" i="118" s="1"/>
  <c r="F163" i="118" a="1"/>
  <c r="F163" i="118" s="1"/>
  <c r="E163" i="118" a="1"/>
  <c r="E163" i="118" s="1"/>
  <c r="D163" i="118" a="1"/>
  <c r="D163" i="118" s="1"/>
  <c r="I162" i="118" a="1"/>
  <c r="I162" i="118" s="1"/>
  <c r="H162" i="118" a="1"/>
  <c r="H162" i="118" s="1"/>
  <c r="G162" i="118" a="1"/>
  <c r="G162" i="118" s="1"/>
  <c r="F162" i="118" a="1"/>
  <c r="F162" i="118" s="1"/>
  <c r="E162" i="118" a="1"/>
  <c r="E162" i="118" s="1"/>
  <c r="D12" i="113" s="1" a="1"/>
  <c r="D162" i="118" a="1"/>
  <c r="D162" i="118" s="1"/>
  <c r="I158" i="118" a="1"/>
  <c r="I158" i="118" s="1"/>
  <c r="H158" i="118" a="1"/>
  <c r="H158" i="118" s="1"/>
  <c r="G158" i="118" a="1"/>
  <c r="G158" i="118" s="1"/>
  <c r="F158" i="118" a="1"/>
  <c r="F158" i="118" s="1"/>
  <c r="P158" i="118" s="1"/>
  <c r="E158" i="118" a="1"/>
  <c r="E158" i="118" s="1"/>
  <c r="O158" i="118" s="1"/>
  <c r="Q157" i="118" s="1"/>
  <c r="D158" i="118" a="1"/>
  <c r="D158" i="118" s="1"/>
  <c r="I157" i="118" a="1"/>
  <c r="I157" i="118" s="1"/>
  <c r="H157" i="118" a="1"/>
  <c r="H157" i="118" s="1"/>
  <c r="G157" i="118" a="1"/>
  <c r="G157" i="118" s="1"/>
  <c r="F157" i="118" a="1"/>
  <c r="F157" i="118" s="1"/>
  <c r="M157" i="118" s="1"/>
  <c r="E157" i="118" a="1"/>
  <c r="E157" i="118" s="1"/>
  <c r="L157" i="118" s="1"/>
  <c r="N156" i="118" s="1"/>
  <c r="D157" i="118" a="1"/>
  <c r="D157" i="118" s="1"/>
  <c r="I156" i="118" a="1"/>
  <c r="I156" i="118" s="1"/>
  <c r="H156" i="118" a="1"/>
  <c r="H156" i="118" s="1"/>
  <c r="G156" i="118" a="1"/>
  <c r="G156" i="118" s="1"/>
  <c r="F156" i="118" a="1"/>
  <c r="F156" i="118" s="1"/>
  <c r="P156" i="118" s="1"/>
  <c r="E156" i="118" a="1"/>
  <c r="E156" i="118" s="1"/>
  <c r="O156" i="118" s="1"/>
  <c r="Q155" i="118" s="1"/>
  <c r="D156" i="118" a="1"/>
  <c r="D156" i="118" s="1"/>
  <c r="I155" i="118" a="1"/>
  <c r="I155" i="118" s="1"/>
  <c r="H155" i="118" a="1"/>
  <c r="H155" i="118" s="1"/>
  <c r="G155" i="118" a="1"/>
  <c r="G155" i="118" s="1"/>
  <c r="F155" i="118" a="1"/>
  <c r="F155" i="118" s="1"/>
  <c r="M155" i="118" s="1"/>
  <c r="E155" i="118" a="1"/>
  <c r="E155" i="118" s="1"/>
  <c r="L155" i="118" s="1"/>
  <c r="N154" i="118" s="1"/>
  <c r="D155" i="118" a="1"/>
  <c r="D155" i="118" s="1"/>
  <c r="I154" i="118" a="1"/>
  <c r="I154" i="118" s="1"/>
  <c r="H154" i="118" a="1"/>
  <c r="H154" i="118" s="1"/>
  <c r="G154" i="118" a="1"/>
  <c r="G154" i="118" s="1"/>
  <c r="F154" i="118" a="1"/>
  <c r="F154" i="118" s="1"/>
  <c r="P154" i="118" s="1"/>
  <c r="E154" i="118" a="1"/>
  <c r="E154" i="118" s="1"/>
  <c r="O154" i="118" s="1"/>
  <c r="Q153" i="118" s="1"/>
  <c r="D154" i="118" a="1"/>
  <c r="D154" i="118" s="1"/>
  <c r="I153" i="118" a="1"/>
  <c r="I153" i="118" s="1"/>
  <c r="H153" i="118" a="1"/>
  <c r="H153" i="118" s="1"/>
  <c r="G153" i="118" a="1"/>
  <c r="G153" i="118" s="1"/>
  <c r="F153" i="118" a="1"/>
  <c r="F153" i="118" s="1"/>
  <c r="M153" i="118" s="1"/>
  <c r="E153" i="118" a="1"/>
  <c r="E153" i="118" s="1"/>
  <c r="L153" i="118" s="1"/>
  <c r="N152" i="118" s="1"/>
  <c r="D153" i="118" a="1"/>
  <c r="D153" i="118" s="1"/>
  <c r="I152" i="118" a="1"/>
  <c r="I152" i="118" s="1"/>
  <c r="H152" i="118" a="1"/>
  <c r="H152" i="118" s="1"/>
  <c r="G152" i="118" a="1"/>
  <c r="G152" i="118" s="1"/>
  <c r="F152" i="118" a="1"/>
  <c r="F152" i="118" s="1"/>
  <c r="P152" i="118" s="1"/>
  <c r="E152" i="118" a="1"/>
  <c r="E152" i="118" s="1"/>
  <c r="O152" i="118" s="1"/>
  <c r="Q151" i="118" s="1"/>
  <c r="D152" i="118" a="1"/>
  <c r="D152" i="118" s="1"/>
  <c r="I151" i="118" a="1"/>
  <c r="I151" i="118" s="1"/>
  <c r="H151" i="118" a="1"/>
  <c r="H151" i="118" s="1"/>
  <c r="G151" i="118" a="1"/>
  <c r="G151" i="118" s="1"/>
  <c r="F151" i="118" a="1"/>
  <c r="F151" i="118" s="1"/>
  <c r="M151" i="118" s="1"/>
  <c r="E151" i="118" a="1"/>
  <c r="E151" i="118" s="1"/>
  <c r="L151" i="118" s="1"/>
  <c r="N150" i="118" s="1"/>
  <c r="D151" i="118" a="1"/>
  <c r="D151" i="118" s="1"/>
  <c r="I150" i="118" a="1"/>
  <c r="I150" i="118" s="1"/>
  <c r="H150" i="118" a="1"/>
  <c r="H150" i="118" s="1"/>
  <c r="G150" i="118" a="1"/>
  <c r="G150" i="118" s="1"/>
  <c r="F150" i="118" a="1"/>
  <c r="F150" i="118" s="1"/>
  <c r="P150" i="118" s="1"/>
  <c r="E150" i="118" a="1"/>
  <c r="E150" i="118" s="1"/>
  <c r="O150" i="118" s="1"/>
  <c r="D150" i="118" a="1"/>
  <c r="D150" i="118" s="1"/>
  <c r="I149" i="118" a="1"/>
  <c r="I149" i="118" s="1"/>
  <c r="H149" i="118" a="1"/>
  <c r="H149" i="118" s="1"/>
  <c r="G149" i="118" a="1"/>
  <c r="G149" i="118" s="1"/>
  <c r="F149" i="118" a="1"/>
  <c r="F149" i="118" s="1"/>
  <c r="P149" i="118" s="1"/>
  <c r="E149" i="118" a="1"/>
  <c r="E149" i="118" s="1"/>
  <c r="O149" i="118" s="1"/>
  <c r="D149" i="118" a="1"/>
  <c r="D149" i="118" s="1"/>
  <c r="I148" i="118" a="1"/>
  <c r="I148" i="118" s="1"/>
  <c r="H148" i="118" a="1"/>
  <c r="H148" i="118" s="1"/>
  <c r="G148" i="118" a="1"/>
  <c r="G148" i="118" s="1"/>
  <c r="F148" i="118" a="1"/>
  <c r="F148" i="118" s="1"/>
  <c r="P148" i="118" s="1"/>
  <c r="E148" i="118" a="1"/>
  <c r="E148" i="118" s="1"/>
  <c r="O148" i="118" s="1"/>
  <c r="D148" i="118" a="1"/>
  <c r="D148" i="118" s="1"/>
  <c r="I147" i="118" a="1"/>
  <c r="I147" i="118" s="1"/>
  <c r="H147" i="118" a="1"/>
  <c r="H147" i="118" s="1"/>
  <c r="G147" i="118" a="1"/>
  <c r="G147" i="118" s="1"/>
  <c r="F147" i="118" a="1"/>
  <c r="F147" i="118" s="1"/>
  <c r="P147" i="118" s="1"/>
  <c r="E147" i="118" a="1"/>
  <c r="E147" i="118" s="1"/>
  <c r="O147" i="118" s="1"/>
  <c r="D147" i="118" a="1"/>
  <c r="D147" i="118" s="1"/>
  <c r="I146" i="118" a="1"/>
  <c r="I146" i="118" s="1"/>
  <c r="H146" i="118" a="1"/>
  <c r="H146" i="118" s="1"/>
  <c r="G146" i="118" a="1"/>
  <c r="G146" i="118" s="1"/>
  <c r="F146" i="118" a="1"/>
  <c r="F146" i="118" s="1"/>
  <c r="P146" i="118" s="1"/>
  <c r="E146" i="118" a="1"/>
  <c r="E146" i="118" s="1"/>
  <c r="O146" i="118" s="1"/>
  <c r="D146" i="118" a="1"/>
  <c r="D146" i="118" s="1"/>
  <c r="I145" i="118" a="1"/>
  <c r="I145" i="118" s="1"/>
  <c r="H145" i="118" a="1"/>
  <c r="H145" i="118" s="1"/>
  <c r="G145" i="118" a="1"/>
  <c r="G145" i="118" s="1"/>
  <c r="F145" i="118" a="1"/>
  <c r="F145" i="118" s="1"/>
  <c r="P145" i="118" s="1"/>
  <c r="E145" i="118" a="1"/>
  <c r="E145" i="118" s="1"/>
  <c r="O145" i="118" s="1"/>
  <c r="D145" i="118" a="1"/>
  <c r="D145" i="118" s="1"/>
  <c r="I144" i="118" a="1"/>
  <c r="I144" i="118" s="1"/>
  <c r="H144" i="118" a="1"/>
  <c r="H144" i="118" s="1"/>
  <c r="G144" i="118" a="1"/>
  <c r="G144" i="118" s="1"/>
  <c r="F144" i="118" a="1"/>
  <c r="F144" i="118" s="1"/>
  <c r="P144" i="118" s="1"/>
  <c r="E144" i="118" a="1"/>
  <c r="E144" i="118" s="1"/>
  <c r="O144" i="118" s="1"/>
  <c r="Q143" i="118" s="1"/>
  <c r="D144" i="118" a="1"/>
  <c r="D144" i="118" s="1"/>
  <c r="I143" i="118" a="1"/>
  <c r="I143" i="118" s="1"/>
  <c r="H143" i="118" a="1"/>
  <c r="H143" i="118" s="1"/>
  <c r="G143" i="118"/>
  <c r="G143" i="118" a="1"/>
  <c r="F143" i="118" a="1"/>
  <c r="F143" i="118" s="1"/>
  <c r="M143" i="118" s="1"/>
  <c r="E143" i="118" a="1"/>
  <c r="E143" i="118" s="1"/>
  <c r="L143" i="118" s="1"/>
  <c r="D143" i="118" a="1"/>
  <c r="D143" i="118" s="1"/>
  <c r="I142" i="118"/>
  <c r="I142" i="118" a="1"/>
  <c r="H142" i="118" a="1"/>
  <c r="H142" i="118" s="1"/>
  <c r="G142" i="118" a="1"/>
  <c r="G142" i="118" s="1"/>
  <c r="F142" i="118" a="1"/>
  <c r="F142" i="118" s="1"/>
  <c r="M142" i="118" s="1"/>
  <c r="E142" i="118" a="1"/>
  <c r="E142" i="118" s="1"/>
  <c r="L142" i="118" s="1"/>
  <c r="D142" i="118" a="1"/>
  <c r="D142" i="118" s="1"/>
  <c r="I141" i="118" a="1"/>
  <c r="I141" i="118" s="1"/>
  <c r="H141" i="118" a="1"/>
  <c r="H141" i="118" s="1"/>
  <c r="G141" i="118" a="1"/>
  <c r="G141" i="118" s="1"/>
  <c r="F141" i="118" a="1"/>
  <c r="F141" i="118" s="1"/>
  <c r="M141" i="118" s="1"/>
  <c r="E141" i="118" a="1"/>
  <c r="E141" i="118" s="1"/>
  <c r="L141" i="118" s="1"/>
  <c r="D141" i="118" a="1"/>
  <c r="D141" i="118" s="1"/>
  <c r="I140" i="118" a="1"/>
  <c r="I140" i="118" s="1"/>
  <c r="H140" i="118" a="1"/>
  <c r="H140" i="118" s="1"/>
  <c r="G140" i="118" a="1"/>
  <c r="G140" i="118" s="1"/>
  <c r="F140" i="118" a="1"/>
  <c r="F140" i="118" s="1"/>
  <c r="M140" i="118" s="1"/>
  <c r="E140" i="118" a="1"/>
  <c r="E140" i="118" s="1"/>
  <c r="L140" i="118" s="1"/>
  <c r="D140" i="118" a="1"/>
  <c r="D140" i="118" s="1"/>
  <c r="I139" i="118" a="1"/>
  <c r="I139" i="118" s="1"/>
  <c r="H139" i="118" a="1"/>
  <c r="H139" i="118" s="1"/>
  <c r="G139" i="118" a="1"/>
  <c r="G139" i="118" s="1"/>
  <c r="F139" i="118" a="1"/>
  <c r="F139" i="118" s="1"/>
  <c r="M139" i="118" s="1"/>
  <c r="E139" i="118" a="1"/>
  <c r="E139" i="118" s="1"/>
  <c r="L139" i="118" s="1"/>
  <c r="D139" i="118" a="1"/>
  <c r="D139" i="118" s="1"/>
  <c r="I138" i="118" a="1"/>
  <c r="I138" i="118" s="1"/>
  <c r="H138" i="118" a="1"/>
  <c r="H138" i="118" s="1"/>
  <c r="G138" i="118" a="1"/>
  <c r="G138" i="118" s="1"/>
  <c r="F138" i="118" a="1"/>
  <c r="F138" i="118" s="1"/>
  <c r="M138" i="118" s="1"/>
  <c r="E138" i="118" a="1"/>
  <c r="E138" i="118" s="1"/>
  <c r="L138" i="118" s="1"/>
  <c r="N137" i="118" s="1"/>
  <c r="D138" i="118" a="1"/>
  <c r="D138" i="118" s="1"/>
  <c r="I137" i="118" a="1"/>
  <c r="I137" i="118" s="1"/>
  <c r="H137" i="118" a="1"/>
  <c r="H137" i="118" s="1"/>
  <c r="G137" i="118" a="1"/>
  <c r="G137" i="118" s="1"/>
  <c r="F137" i="118" a="1"/>
  <c r="F137" i="118" s="1"/>
  <c r="P137" i="118" s="1"/>
  <c r="E137" i="118" a="1"/>
  <c r="E137" i="118" s="1"/>
  <c r="O137" i="118" s="1"/>
  <c r="D137" i="118" a="1"/>
  <c r="D137" i="118" s="1"/>
  <c r="I136" i="118" a="1"/>
  <c r="I136" i="118" s="1"/>
  <c r="H136" i="118" a="1"/>
  <c r="H136" i="118" s="1"/>
  <c r="G136" i="118" a="1"/>
  <c r="G136" i="118" s="1"/>
  <c r="F136" i="118" a="1"/>
  <c r="F136" i="118" s="1"/>
  <c r="P136" i="118" s="1"/>
  <c r="E136" i="118" a="1"/>
  <c r="E136" i="118" s="1"/>
  <c r="O136" i="118" s="1"/>
  <c r="D136" i="118" a="1"/>
  <c r="D136" i="118" s="1"/>
  <c r="I135" i="118" a="1"/>
  <c r="I135" i="118" s="1"/>
  <c r="H135" i="118" a="1"/>
  <c r="H135" i="118" s="1"/>
  <c r="G135" i="118" a="1"/>
  <c r="G135" i="118" s="1"/>
  <c r="F135" i="118" a="1"/>
  <c r="F135" i="118" s="1"/>
  <c r="P135" i="118" s="1"/>
  <c r="E135" i="118" a="1"/>
  <c r="E135" i="118" s="1"/>
  <c r="O135" i="118" s="1"/>
  <c r="D135" i="118" a="1"/>
  <c r="D135" i="118" s="1"/>
  <c r="I134" i="118" a="1"/>
  <c r="I134" i="118" s="1"/>
  <c r="H134" i="118" a="1"/>
  <c r="H134" i="118" s="1"/>
  <c r="G134" i="118" a="1"/>
  <c r="G134" i="118" s="1"/>
  <c r="F134" i="118" a="1"/>
  <c r="F134" i="118" s="1"/>
  <c r="P134" i="118" s="1"/>
  <c r="E134" i="118" a="1"/>
  <c r="E134" i="118" s="1"/>
  <c r="O134" i="118" s="1"/>
  <c r="D134" i="118" a="1"/>
  <c r="D134" i="118" s="1"/>
  <c r="I133" i="118" a="1"/>
  <c r="I133" i="118" s="1"/>
  <c r="H133" i="118" a="1"/>
  <c r="H133" i="118" s="1"/>
  <c r="G133" i="118" a="1"/>
  <c r="G133" i="118" s="1"/>
  <c r="F133" i="118" a="1"/>
  <c r="F133" i="118" s="1"/>
  <c r="P133" i="118" s="1"/>
  <c r="E133" i="118" a="1"/>
  <c r="E133" i="118" s="1"/>
  <c r="O133" i="118" s="1"/>
  <c r="D133" i="118" a="1"/>
  <c r="D133" i="118" s="1"/>
  <c r="I132" i="118" a="1"/>
  <c r="I132" i="118" s="1"/>
  <c r="H132" i="118" a="1"/>
  <c r="H132" i="118" s="1"/>
  <c r="G132" i="118" a="1"/>
  <c r="G132" i="118" s="1"/>
  <c r="F132" i="118" a="1"/>
  <c r="F132" i="118" s="1"/>
  <c r="P132" i="118" s="1"/>
  <c r="E132" i="118" a="1"/>
  <c r="E132" i="118" s="1"/>
  <c r="O132" i="118" s="1"/>
  <c r="D132" i="118" a="1"/>
  <c r="D132" i="118" s="1"/>
  <c r="I131" i="118" a="1"/>
  <c r="I131" i="118" s="1"/>
  <c r="H131" i="118" a="1"/>
  <c r="H131" i="118" s="1"/>
  <c r="G131" i="118" a="1"/>
  <c r="G131" i="118" s="1"/>
  <c r="F131" i="118" a="1"/>
  <c r="F131" i="118" s="1"/>
  <c r="P131" i="118" s="1"/>
  <c r="E131" i="118" a="1"/>
  <c r="E131" i="118" s="1"/>
  <c r="O131" i="118" s="1"/>
  <c r="Q130" i="118" s="1"/>
  <c r="D131" i="118" a="1"/>
  <c r="D131" i="118" s="1"/>
  <c r="I130" i="118" a="1"/>
  <c r="I130" i="118" s="1"/>
  <c r="H130" i="118" a="1"/>
  <c r="H130" i="118" s="1"/>
  <c r="G130" i="118" a="1"/>
  <c r="G130" i="118" s="1"/>
  <c r="F130" i="118" a="1"/>
  <c r="F130" i="118" s="1"/>
  <c r="M130" i="118" s="1"/>
  <c r="E130" i="118" a="1"/>
  <c r="E130" i="118" s="1"/>
  <c r="L130" i="118" s="1"/>
  <c r="D130" i="118" a="1"/>
  <c r="D130" i="118" s="1"/>
  <c r="I129" i="118" a="1"/>
  <c r="I129" i="118" s="1"/>
  <c r="H129" i="118" a="1"/>
  <c r="H129" i="118" s="1"/>
  <c r="G129" i="118" a="1"/>
  <c r="G129" i="118" s="1"/>
  <c r="F129" i="118" a="1"/>
  <c r="F129" i="118" s="1"/>
  <c r="M129" i="118" s="1"/>
  <c r="E129" i="118" a="1"/>
  <c r="E129" i="118" s="1"/>
  <c r="L129" i="118" s="1"/>
  <c r="D129" i="118" a="1"/>
  <c r="D129" i="118" s="1"/>
  <c r="I128" i="118" a="1"/>
  <c r="I128" i="118" s="1"/>
  <c r="H128" i="118" a="1"/>
  <c r="H128" i="118" s="1"/>
  <c r="G128" i="118" a="1"/>
  <c r="G128" i="118" s="1"/>
  <c r="F128" i="118" a="1"/>
  <c r="F128" i="118" s="1"/>
  <c r="M128" i="118" s="1"/>
  <c r="E128" i="118" a="1"/>
  <c r="E128" i="118" s="1"/>
  <c r="L128" i="118" s="1"/>
  <c r="D128" i="118" a="1"/>
  <c r="D128" i="118" s="1"/>
  <c r="I127" i="118" a="1"/>
  <c r="I127" i="118" s="1"/>
  <c r="H127" i="118" a="1"/>
  <c r="H127" i="118" s="1"/>
  <c r="G127" i="118" a="1"/>
  <c r="G127" i="118" s="1"/>
  <c r="F127" i="118" a="1"/>
  <c r="F127" i="118" s="1"/>
  <c r="M127" i="118" s="1"/>
  <c r="E127" i="118" a="1"/>
  <c r="E127" i="118" s="1"/>
  <c r="L127" i="118" s="1"/>
  <c r="D127" i="118" a="1"/>
  <c r="D127" i="118" s="1"/>
  <c r="I126" i="118" a="1"/>
  <c r="I126" i="118" s="1"/>
  <c r="H126" i="118" a="1"/>
  <c r="H126" i="118" s="1"/>
  <c r="G126" i="118" a="1"/>
  <c r="G126" i="118" s="1"/>
  <c r="F126" i="118" a="1"/>
  <c r="F126" i="118" s="1"/>
  <c r="M126" i="118" s="1"/>
  <c r="E126" i="118" a="1"/>
  <c r="E126" i="118" s="1"/>
  <c r="L126" i="118" s="1"/>
  <c r="D126" i="118" a="1"/>
  <c r="D126" i="118" s="1"/>
  <c r="I125" i="118" a="1"/>
  <c r="I125" i="118" s="1"/>
  <c r="H125" i="118" a="1"/>
  <c r="H125" i="118" s="1"/>
  <c r="G125" i="118" a="1"/>
  <c r="G125" i="118" s="1"/>
  <c r="F125" i="118" a="1"/>
  <c r="F125" i="118" s="1"/>
  <c r="M125" i="118" s="1"/>
  <c r="E125" i="118" a="1"/>
  <c r="E125" i="118" s="1"/>
  <c r="L125" i="118" s="1"/>
  <c r="N124" i="118" s="1"/>
  <c r="D125" i="118" a="1"/>
  <c r="D125" i="118" s="1"/>
  <c r="I124" i="118" a="1"/>
  <c r="I124" i="118" s="1"/>
  <c r="H124" i="118" a="1"/>
  <c r="H124" i="118" s="1"/>
  <c r="G124" i="118" a="1"/>
  <c r="G124" i="118" s="1"/>
  <c r="F124" i="118" a="1"/>
  <c r="F124" i="118" s="1"/>
  <c r="P124" i="118" s="1"/>
  <c r="E124" i="118" a="1"/>
  <c r="E124" i="118" s="1"/>
  <c r="O124" i="118" s="1"/>
  <c r="D124" i="118" a="1"/>
  <c r="D124" i="118" s="1"/>
  <c r="I123" i="118" a="1"/>
  <c r="I123" i="118" s="1"/>
  <c r="H123" i="118" a="1"/>
  <c r="H123" i="118" s="1"/>
  <c r="G123" i="118" a="1"/>
  <c r="G123" i="118" s="1"/>
  <c r="F123" i="118" a="1"/>
  <c r="F123" i="118" s="1"/>
  <c r="P123" i="118" s="1"/>
  <c r="E123" i="118" a="1"/>
  <c r="E123" i="118" s="1"/>
  <c r="O123" i="118" s="1"/>
  <c r="D123" i="118" a="1"/>
  <c r="D123" i="118" s="1"/>
  <c r="I122" i="118" a="1"/>
  <c r="I122" i="118" s="1"/>
  <c r="H122" i="118" a="1"/>
  <c r="H122" i="118" s="1"/>
  <c r="G122" i="118" a="1"/>
  <c r="G122" i="118" s="1"/>
  <c r="F122" i="118" a="1"/>
  <c r="F122" i="118" s="1"/>
  <c r="P122" i="118" s="1"/>
  <c r="E122" i="118" a="1"/>
  <c r="E122" i="118" s="1"/>
  <c r="O122" i="118" s="1"/>
  <c r="D122" i="118" a="1"/>
  <c r="D122" i="118" s="1"/>
  <c r="O121" i="118"/>
  <c r="I121" i="118" a="1"/>
  <c r="I121" i="118" s="1"/>
  <c r="H121" i="118" a="1"/>
  <c r="H121" i="118" s="1"/>
  <c r="G121" i="118" a="1"/>
  <c r="G121" i="118" s="1"/>
  <c r="F121" i="118" a="1"/>
  <c r="F121" i="118" s="1"/>
  <c r="P121" i="118" s="1"/>
  <c r="E121" i="118" a="1"/>
  <c r="E121" i="118" s="1"/>
  <c r="D121" i="118" a="1"/>
  <c r="D121" i="118" s="1"/>
  <c r="I120" i="118" a="1"/>
  <c r="I120" i="118" s="1"/>
  <c r="H120" i="118" a="1"/>
  <c r="H120" i="118" s="1"/>
  <c r="G120" i="118" a="1"/>
  <c r="G120" i="118" s="1"/>
  <c r="F120" i="118" a="1"/>
  <c r="F120" i="118" s="1"/>
  <c r="P120" i="118" s="1"/>
  <c r="E120" i="118" a="1"/>
  <c r="E120" i="118" s="1"/>
  <c r="O120" i="118" s="1"/>
  <c r="D120" i="118" a="1"/>
  <c r="D120" i="118" s="1"/>
  <c r="I119" i="118" a="1"/>
  <c r="I119" i="118" s="1"/>
  <c r="H119" i="118" a="1"/>
  <c r="H119" i="118" s="1"/>
  <c r="G119" i="118" a="1"/>
  <c r="G119" i="118" s="1"/>
  <c r="F119" i="118" a="1"/>
  <c r="F119" i="118" s="1"/>
  <c r="P119" i="118" s="1"/>
  <c r="E119" i="118" a="1"/>
  <c r="E119" i="118" s="1"/>
  <c r="O119" i="118" s="1"/>
  <c r="D119" i="118" a="1"/>
  <c r="D119" i="118" s="1"/>
  <c r="I118" i="118" a="1"/>
  <c r="I118" i="118" s="1"/>
  <c r="H118" i="118" a="1"/>
  <c r="H118" i="118" s="1"/>
  <c r="G118" i="118" a="1"/>
  <c r="G118" i="118" s="1"/>
  <c r="F118" i="118" a="1"/>
  <c r="F118" i="118" s="1"/>
  <c r="P118" i="118" s="1"/>
  <c r="E118" i="118" a="1"/>
  <c r="E118" i="118" s="1"/>
  <c r="O118" i="118" s="1"/>
  <c r="Q117" i="118" s="1"/>
  <c r="D118" i="118" a="1"/>
  <c r="D118" i="118" s="1"/>
  <c r="I117" i="118" a="1"/>
  <c r="I117" i="118" s="1"/>
  <c r="H117" i="118" a="1"/>
  <c r="H117" i="118" s="1"/>
  <c r="G117" i="118" a="1"/>
  <c r="G117" i="118" s="1"/>
  <c r="F117" i="118" a="1"/>
  <c r="F117" i="118" s="1"/>
  <c r="M117" i="118" s="1"/>
  <c r="E117" i="118" a="1"/>
  <c r="E117" i="118" s="1"/>
  <c r="L117" i="118" s="1"/>
  <c r="D117" i="118" a="1"/>
  <c r="D117" i="118" s="1"/>
  <c r="I116" i="118" a="1"/>
  <c r="I116" i="118" s="1"/>
  <c r="H116" i="118" a="1"/>
  <c r="H116" i="118" s="1"/>
  <c r="G116" i="118" a="1"/>
  <c r="G116" i="118" s="1"/>
  <c r="F116" i="118"/>
  <c r="M116" i="118" s="1"/>
  <c r="F116" i="118" a="1"/>
  <c r="E116" i="118"/>
  <c r="L116" i="118" s="1"/>
  <c r="E116" i="118" a="1"/>
  <c r="D116" i="118" a="1"/>
  <c r="D116" i="118" s="1"/>
  <c r="I115" i="118" a="1"/>
  <c r="I115" i="118" s="1"/>
  <c r="H115" i="118" a="1"/>
  <c r="H115" i="118" s="1"/>
  <c r="G115" i="118" a="1"/>
  <c r="G115" i="118" s="1"/>
  <c r="F115" i="118" a="1"/>
  <c r="F115" i="118" s="1"/>
  <c r="M115" i="118" s="1"/>
  <c r="E115" i="118" a="1"/>
  <c r="E115" i="118" s="1"/>
  <c r="L115" i="118" s="1"/>
  <c r="D115" i="118" a="1"/>
  <c r="D115" i="118" s="1"/>
  <c r="I114" i="118" a="1"/>
  <c r="I114" i="118" s="1"/>
  <c r="H114" i="118" a="1"/>
  <c r="H114" i="118" s="1"/>
  <c r="G114" i="118" a="1"/>
  <c r="G114" i="118" s="1"/>
  <c r="F114" i="118" a="1"/>
  <c r="F114" i="118" s="1"/>
  <c r="M114" i="118" s="1"/>
  <c r="E114" i="118" a="1"/>
  <c r="E114" i="118" s="1"/>
  <c r="L114" i="118" s="1"/>
  <c r="D114" i="118" a="1"/>
  <c r="D114" i="118" s="1"/>
  <c r="I113" i="118" a="1"/>
  <c r="I113" i="118" s="1"/>
  <c r="H113" i="118" a="1"/>
  <c r="H113" i="118" s="1"/>
  <c r="G113" i="118" a="1"/>
  <c r="G113" i="118" s="1"/>
  <c r="F113" i="118" a="1"/>
  <c r="F113" i="118" s="1"/>
  <c r="M113" i="118" s="1"/>
  <c r="E113" i="118" a="1"/>
  <c r="E113" i="118" s="1"/>
  <c r="L113" i="118" s="1"/>
  <c r="D113" i="118" a="1"/>
  <c r="D113" i="118" s="1"/>
  <c r="I112" i="118" a="1"/>
  <c r="I112" i="118" s="1"/>
  <c r="H112" i="118" a="1"/>
  <c r="H112" i="118" s="1"/>
  <c r="G112" i="118" a="1"/>
  <c r="G112" i="118" s="1"/>
  <c r="F112" i="118" a="1"/>
  <c r="F112" i="118" s="1"/>
  <c r="M112" i="118" s="1"/>
  <c r="E112" i="118" a="1"/>
  <c r="E112" i="118" s="1"/>
  <c r="L112" i="118" s="1"/>
  <c r="D112" i="118" a="1"/>
  <c r="D112" i="118" s="1"/>
  <c r="I111" i="118" a="1"/>
  <c r="I111" i="118" s="1"/>
  <c r="H111" i="118" a="1"/>
  <c r="H111" i="118" s="1"/>
  <c r="G111" i="118" a="1"/>
  <c r="G111" i="118" s="1"/>
  <c r="F111" i="118" a="1"/>
  <c r="F111" i="118" s="1"/>
  <c r="M111" i="118" s="1"/>
  <c r="E111" i="118" a="1"/>
  <c r="E111" i="118" s="1"/>
  <c r="L111" i="118" s="1"/>
  <c r="D111" i="118" a="1"/>
  <c r="D111" i="118" s="1"/>
  <c r="I110" i="118" a="1"/>
  <c r="I110" i="118" s="1"/>
  <c r="H110" i="118" a="1"/>
  <c r="H110" i="118" s="1"/>
  <c r="G110" i="118" a="1"/>
  <c r="G110" i="118" s="1"/>
  <c r="F110" i="118" a="1"/>
  <c r="F110" i="118" s="1"/>
  <c r="M110" i="118" s="1"/>
  <c r="E110" i="118" a="1"/>
  <c r="E110" i="118" s="1"/>
  <c r="L110" i="118" s="1"/>
  <c r="N109" i="118" s="1"/>
  <c r="D110" i="118" a="1"/>
  <c r="D110" i="118" s="1"/>
  <c r="I109" i="118" a="1"/>
  <c r="I109" i="118" s="1"/>
  <c r="H109" i="118" a="1"/>
  <c r="H109" i="118" s="1"/>
  <c r="G109" i="118" a="1"/>
  <c r="G109" i="118" s="1"/>
  <c r="F109" i="118" a="1"/>
  <c r="F109" i="118" s="1"/>
  <c r="P109" i="118" s="1"/>
  <c r="E109" i="118" a="1"/>
  <c r="E109" i="118" s="1"/>
  <c r="O109" i="118" s="1"/>
  <c r="D109" i="118" a="1"/>
  <c r="D109" i="118" s="1"/>
  <c r="I108" i="118" a="1"/>
  <c r="I108" i="118" s="1"/>
  <c r="H108" i="118" a="1"/>
  <c r="H108" i="118" s="1"/>
  <c r="G108" i="118" a="1"/>
  <c r="G108" i="118" s="1"/>
  <c r="F108" i="118" a="1"/>
  <c r="F108" i="118" s="1"/>
  <c r="P108" i="118" s="1"/>
  <c r="E108" i="118" a="1"/>
  <c r="E108" i="118" s="1"/>
  <c r="O108" i="118" s="1"/>
  <c r="D108" i="118" a="1"/>
  <c r="D108" i="118" s="1"/>
  <c r="I107" i="118" a="1"/>
  <c r="I107" i="118" s="1"/>
  <c r="H107" i="118" a="1"/>
  <c r="H107" i="118" s="1"/>
  <c r="G107" i="118" a="1"/>
  <c r="G107" i="118" s="1"/>
  <c r="F107" i="118" a="1"/>
  <c r="F107" i="118" s="1"/>
  <c r="P107" i="118" s="1"/>
  <c r="E107" i="118" a="1"/>
  <c r="E107" i="118" s="1"/>
  <c r="O107" i="118" s="1"/>
  <c r="D107" i="118" a="1"/>
  <c r="D107" i="118" s="1"/>
  <c r="I106" i="118" a="1"/>
  <c r="I106" i="118" s="1"/>
  <c r="H106" i="118" a="1"/>
  <c r="H106" i="118" s="1"/>
  <c r="G106" i="118" a="1"/>
  <c r="G106" i="118" s="1"/>
  <c r="F106" i="118" a="1"/>
  <c r="F106" i="118" s="1"/>
  <c r="P106" i="118" s="1"/>
  <c r="E106" i="118" a="1"/>
  <c r="E106" i="118" s="1"/>
  <c r="O106" i="118" s="1"/>
  <c r="D106" i="118" a="1"/>
  <c r="D106" i="118" s="1"/>
  <c r="P105" i="118"/>
  <c r="I105" i="118" a="1"/>
  <c r="I105" i="118" s="1"/>
  <c r="H105" i="118" a="1"/>
  <c r="H105" i="118" s="1"/>
  <c r="G105" i="118" a="1"/>
  <c r="G105" i="118" s="1"/>
  <c r="F105" i="118" a="1"/>
  <c r="F105" i="118" s="1"/>
  <c r="E105" i="118" a="1"/>
  <c r="E105" i="118" s="1"/>
  <c r="O105" i="118" s="1"/>
  <c r="Q104" i="118" s="1"/>
  <c r="D105" i="118" a="1"/>
  <c r="D105" i="118" s="1"/>
  <c r="I104" i="118" a="1"/>
  <c r="I104" i="118" s="1"/>
  <c r="H104" i="118"/>
  <c r="H104" i="118" a="1"/>
  <c r="G104" i="118" a="1"/>
  <c r="G104" i="118" s="1"/>
  <c r="F104" i="118" a="1"/>
  <c r="F104" i="118" s="1"/>
  <c r="M104" i="118" s="1"/>
  <c r="E104" i="118" a="1"/>
  <c r="E104" i="118" s="1"/>
  <c r="L104" i="118" s="1"/>
  <c r="D104" i="118" a="1"/>
  <c r="D104" i="118" s="1"/>
  <c r="I103" i="118" a="1"/>
  <c r="I103" i="118" s="1"/>
  <c r="H103" i="118" a="1"/>
  <c r="H103" i="118" s="1"/>
  <c r="G103" i="118" a="1"/>
  <c r="G103" i="118" s="1"/>
  <c r="F103" i="118" a="1"/>
  <c r="F103" i="118" s="1"/>
  <c r="M103" i="118" s="1"/>
  <c r="E103" i="118" a="1"/>
  <c r="E103" i="118" s="1"/>
  <c r="L103" i="118" s="1"/>
  <c r="D103" i="118" a="1"/>
  <c r="D103" i="118" s="1"/>
  <c r="I102" i="118" a="1"/>
  <c r="I102" i="118" s="1"/>
  <c r="H102" i="118" a="1"/>
  <c r="H102" i="118" s="1"/>
  <c r="G102" i="118" a="1"/>
  <c r="G102" i="118" s="1"/>
  <c r="F102" i="118" a="1"/>
  <c r="F102" i="118" s="1"/>
  <c r="M102" i="118" s="1"/>
  <c r="E102" i="118" a="1"/>
  <c r="E102" i="118" s="1"/>
  <c r="L102" i="118" s="1"/>
  <c r="D102" i="118" a="1"/>
  <c r="D102" i="118" s="1"/>
  <c r="I101" i="118" a="1"/>
  <c r="I101" i="118" s="1"/>
  <c r="H101" i="118" a="1"/>
  <c r="H101" i="118" s="1"/>
  <c r="G101" i="118" a="1"/>
  <c r="G101" i="118" s="1"/>
  <c r="F101" i="118" a="1"/>
  <c r="F101" i="118" s="1"/>
  <c r="M101" i="118" s="1"/>
  <c r="E101" i="118" a="1"/>
  <c r="E101" i="118" s="1"/>
  <c r="L101" i="118" s="1"/>
  <c r="D101" i="118" a="1"/>
  <c r="D101" i="118" s="1"/>
  <c r="I100" i="118" a="1"/>
  <c r="I100" i="118" s="1"/>
  <c r="H100" i="118" a="1"/>
  <c r="H100" i="118" s="1"/>
  <c r="G100" i="118" a="1"/>
  <c r="G100" i="118" s="1"/>
  <c r="F100" i="118" a="1"/>
  <c r="F100" i="118" s="1"/>
  <c r="M100" i="118" s="1"/>
  <c r="E100" i="118" a="1"/>
  <c r="E100" i="118" s="1"/>
  <c r="L100" i="118" s="1"/>
  <c r="D100" i="118" a="1"/>
  <c r="D100" i="118" s="1"/>
  <c r="I99" i="118" a="1"/>
  <c r="I99" i="118" s="1"/>
  <c r="H99" i="118" a="1"/>
  <c r="H99" i="118" s="1"/>
  <c r="G99" i="118" a="1"/>
  <c r="G99" i="118" s="1"/>
  <c r="F99" i="118" a="1"/>
  <c r="F99" i="118" s="1"/>
  <c r="M99" i="118" s="1"/>
  <c r="E99" i="118" a="1"/>
  <c r="E99" i="118" s="1"/>
  <c r="L99" i="118" s="1"/>
  <c r="D99" i="118" a="1"/>
  <c r="D99" i="118" s="1"/>
  <c r="I98" i="118" a="1"/>
  <c r="I98" i="118" s="1"/>
  <c r="H98" i="118" a="1"/>
  <c r="H98" i="118" s="1"/>
  <c r="G98" i="118" a="1"/>
  <c r="G98" i="118" s="1"/>
  <c r="F98" i="118" a="1"/>
  <c r="F98" i="118" s="1"/>
  <c r="M98" i="118" s="1"/>
  <c r="E98" i="118" a="1"/>
  <c r="E98" i="118" s="1"/>
  <c r="L98" i="118" s="1"/>
  <c r="N97" i="118" s="1"/>
  <c r="D98" i="118" a="1"/>
  <c r="D98" i="118" s="1"/>
  <c r="I97" i="118" a="1"/>
  <c r="I97" i="118" s="1"/>
  <c r="H97" i="118" a="1"/>
  <c r="H97" i="118" s="1"/>
  <c r="G97" i="118" a="1"/>
  <c r="G97" i="118" s="1"/>
  <c r="F97" i="118" a="1"/>
  <c r="F97" i="118" s="1"/>
  <c r="P97" i="118" s="1"/>
  <c r="E97" i="118" a="1"/>
  <c r="E97" i="118" s="1"/>
  <c r="O97" i="118" s="1"/>
  <c r="D97" i="118" a="1"/>
  <c r="D97" i="118" s="1"/>
  <c r="P96" i="118"/>
  <c r="I96" i="118" a="1"/>
  <c r="I96" i="118" s="1"/>
  <c r="H96" i="118"/>
  <c r="H96" i="118" a="1"/>
  <c r="G96" i="118" a="1"/>
  <c r="G96" i="118" s="1"/>
  <c r="F96" i="118" a="1"/>
  <c r="F96" i="118" s="1"/>
  <c r="E96" i="118" a="1"/>
  <c r="E96" i="118" s="1"/>
  <c r="O96" i="118" s="1"/>
  <c r="D96" i="118" a="1"/>
  <c r="D96" i="118" s="1"/>
  <c r="I95" i="118" a="1"/>
  <c r="I95" i="118" s="1"/>
  <c r="H95" i="118" a="1"/>
  <c r="H95" i="118" s="1"/>
  <c r="G95" i="118" a="1"/>
  <c r="G95" i="118" s="1"/>
  <c r="F95" i="118" a="1"/>
  <c r="F95" i="118" s="1"/>
  <c r="P95" i="118" s="1"/>
  <c r="E95" i="118" a="1"/>
  <c r="E95" i="118" s="1"/>
  <c r="O95" i="118" s="1"/>
  <c r="D95" i="118" a="1"/>
  <c r="D95" i="118" s="1"/>
  <c r="I94" i="118" a="1"/>
  <c r="I94" i="118" s="1"/>
  <c r="H94" i="118" a="1"/>
  <c r="H94" i="118" s="1"/>
  <c r="G94" i="118" a="1"/>
  <c r="G94" i="118" s="1"/>
  <c r="F94" i="118" a="1"/>
  <c r="F94" i="118" s="1"/>
  <c r="P94" i="118" s="1"/>
  <c r="E94" i="118" a="1"/>
  <c r="E94" i="118" s="1"/>
  <c r="O94" i="118" s="1"/>
  <c r="D94" i="118" a="1"/>
  <c r="D94" i="118" s="1"/>
  <c r="I93" i="118" a="1"/>
  <c r="I93" i="118" s="1"/>
  <c r="H93" i="118" a="1"/>
  <c r="H93" i="118" s="1"/>
  <c r="G93" i="118" a="1"/>
  <c r="G93" i="118" s="1"/>
  <c r="F93" i="118" a="1"/>
  <c r="F93" i="118" s="1"/>
  <c r="P93" i="118" s="1"/>
  <c r="E93" i="118" a="1"/>
  <c r="E93" i="118" s="1"/>
  <c r="O93" i="118" s="1"/>
  <c r="D93" i="118" a="1"/>
  <c r="D93" i="118" s="1"/>
  <c r="I92" i="118" a="1"/>
  <c r="I92" i="118" s="1"/>
  <c r="H92" i="118" a="1"/>
  <c r="H92" i="118" s="1"/>
  <c r="G92" i="118" a="1"/>
  <c r="G92" i="118" s="1"/>
  <c r="F92" i="118" a="1"/>
  <c r="F92" i="118" s="1"/>
  <c r="P92" i="118" s="1"/>
  <c r="E92" i="118" a="1"/>
  <c r="E92" i="118" s="1"/>
  <c r="O92" i="118" s="1"/>
  <c r="D92" i="118" a="1"/>
  <c r="D92" i="118" s="1"/>
  <c r="I91" i="118" a="1"/>
  <c r="I91" i="118" s="1"/>
  <c r="H91" i="118" a="1"/>
  <c r="H91" i="118" s="1"/>
  <c r="G91" i="118" a="1"/>
  <c r="G91" i="118" s="1"/>
  <c r="F91" i="118" a="1"/>
  <c r="F91" i="118" s="1"/>
  <c r="P91" i="118" s="1"/>
  <c r="E91" i="118" a="1"/>
  <c r="E91" i="118" s="1"/>
  <c r="O91" i="118" s="1"/>
  <c r="D91" i="118" a="1"/>
  <c r="D91" i="118" s="1"/>
  <c r="I90" i="118" a="1"/>
  <c r="I90" i="118" s="1"/>
  <c r="H90" i="118" a="1"/>
  <c r="H90" i="118" s="1"/>
  <c r="G90" i="118" a="1"/>
  <c r="G90" i="118" s="1"/>
  <c r="F90" i="118" a="1"/>
  <c r="F90" i="118" s="1"/>
  <c r="P90" i="118" s="1"/>
  <c r="E90" i="118" a="1"/>
  <c r="E90" i="118" s="1"/>
  <c r="X123" i="116" s="1" a="1"/>
  <c r="X123" i="116" s="1"/>
  <c r="D90" i="118" a="1"/>
  <c r="D90" i="118" s="1"/>
  <c r="I86" i="118" a="1"/>
  <c r="I86" i="118" s="1"/>
  <c r="H86" i="118" a="1"/>
  <c r="H86" i="118" s="1"/>
  <c r="G86" i="118" a="1"/>
  <c r="G86" i="118" s="1"/>
  <c r="F86" i="118" a="1"/>
  <c r="F86" i="118" s="1"/>
  <c r="E86" i="118"/>
  <c r="E86" i="118" a="1"/>
  <c r="D86" i="118" a="1"/>
  <c r="D86" i="118" s="1"/>
  <c r="I85" i="118" a="1"/>
  <c r="I85" i="118" s="1"/>
  <c r="H85" i="118" a="1"/>
  <c r="H85" i="118" s="1"/>
  <c r="G85" i="118" a="1"/>
  <c r="G85" i="118" s="1"/>
  <c r="F85" i="118" a="1"/>
  <c r="F85" i="118" s="1"/>
  <c r="E85" i="118" a="1"/>
  <c r="E85" i="118" s="1"/>
  <c r="D85" i="118" a="1"/>
  <c r="D85" i="118" s="1"/>
  <c r="I84" i="118" a="1"/>
  <c r="I84" i="118" s="1"/>
  <c r="H84" i="118" a="1"/>
  <c r="H84" i="118" s="1"/>
  <c r="G84" i="118" a="1"/>
  <c r="G84" i="118" s="1"/>
  <c r="F84" i="118" a="1"/>
  <c r="F84" i="118" s="1"/>
  <c r="E84" i="118" a="1"/>
  <c r="E84" i="118" s="1"/>
  <c r="D84" i="118"/>
  <c r="D84" i="118" a="1"/>
  <c r="I83" i="118" a="1"/>
  <c r="I83" i="118" s="1"/>
  <c r="H83" i="118" a="1"/>
  <c r="H83" i="118" s="1"/>
  <c r="G83" i="118" a="1"/>
  <c r="G83" i="118" s="1"/>
  <c r="F83" i="118" a="1"/>
  <c r="F83" i="118" s="1"/>
  <c r="E83" i="118" a="1"/>
  <c r="E83" i="118" s="1"/>
  <c r="G469" i="116" s="1" a="1"/>
  <c r="G469" i="116" s="1"/>
  <c r="H469" i="116" s="1" a="1"/>
  <c r="H469" i="116" s="1"/>
  <c r="D83" i="118" a="1"/>
  <c r="D83" i="118" s="1"/>
  <c r="I80" i="118" a="1"/>
  <c r="I80" i="118" s="1"/>
  <c r="H80" i="118" a="1"/>
  <c r="H80" i="118" s="1"/>
  <c r="G80" i="118" a="1"/>
  <c r="G80" i="118" s="1"/>
  <c r="F80" i="118" a="1"/>
  <c r="F80" i="118" s="1"/>
  <c r="E80" i="118" a="1"/>
  <c r="E80" i="118" s="1"/>
  <c r="D80" i="118" a="1"/>
  <c r="D80" i="118" s="1"/>
  <c r="I79" i="118" a="1"/>
  <c r="I79" i="118" s="1"/>
  <c r="H79" i="118" a="1"/>
  <c r="H79" i="118" s="1"/>
  <c r="G79" i="118" a="1"/>
  <c r="G79" i="118" s="1"/>
  <c r="F79" i="118" a="1"/>
  <c r="F79" i="118" s="1"/>
  <c r="E79" i="118" a="1"/>
  <c r="E79" i="118" s="1"/>
  <c r="D79" i="118" a="1"/>
  <c r="D79" i="118" s="1"/>
  <c r="I78" i="118" a="1"/>
  <c r="I78" i="118" s="1"/>
  <c r="H78" i="118" a="1"/>
  <c r="H78" i="118" s="1"/>
  <c r="G78" i="118" a="1"/>
  <c r="G78" i="118" s="1"/>
  <c r="F78" i="118" a="1"/>
  <c r="F78" i="118" s="1"/>
  <c r="E78" i="118" a="1"/>
  <c r="E78" i="118" s="1"/>
  <c r="D78" i="118" a="1"/>
  <c r="D78" i="118" s="1"/>
  <c r="I74" i="118" a="1"/>
  <c r="I74" i="118" s="1"/>
  <c r="H74" i="118" a="1"/>
  <c r="H74" i="118" s="1"/>
  <c r="G74" i="118" a="1"/>
  <c r="G74" i="118" s="1"/>
  <c r="F74" i="118" a="1"/>
  <c r="F74" i="118" s="1"/>
  <c r="E74" i="118" a="1"/>
  <c r="E74" i="118" s="1"/>
  <c r="D74" i="118" a="1"/>
  <c r="D74" i="118" s="1"/>
  <c r="I73" i="118" a="1"/>
  <c r="I73" i="118" s="1"/>
  <c r="H73" i="118" a="1"/>
  <c r="H73" i="118" s="1"/>
  <c r="G73" i="118" a="1"/>
  <c r="G73" i="118" s="1"/>
  <c r="F73" i="118" a="1"/>
  <c r="F73" i="118" s="1"/>
  <c r="E73" i="118" a="1"/>
  <c r="E73" i="118" s="1"/>
  <c r="D73" i="118" a="1"/>
  <c r="D73" i="118" s="1"/>
  <c r="I72" i="118" a="1"/>
  <c r="I72" i="118" s="1"/>
  <c r="H72" i="118" a="1"/>
  <c r="H72" i="118" s="1"/>
  <c r="G72" i="118" a="1"/>
  <c r="G72" i="118" s="1"/>
  <c r="F72" i="118" a="1"/>
  <c r="F72" i="118" s="1"/>
  <c r="E72" i="118" a="1"/>
  <c r="E72" i="118" s="1"/>
  <c r="D72" i="118" a="1"/>
  <c r="D72" i="118" s="1"/>
  <c r="I71" i="118" a="1"/>
  <c r="I71" i="118" s="1"/>
  <c r="H71" i="118" a="1"/>
  <c r="H71" i="118" s="1"/>
  <c r="G71" i="118" a="1"/>
  <c r="G71" i="118" s="1"/>
  <c r="F71" i="118" a="1"/>
  <c r="F71" i="118" s="1"/>
  <c r="E71" i="118" a="1"/>
  <c r="E71" i="118" s="1"/>
  <c r="D71" i="118" a="1"/>
  <c r="D71" i="118" s="1"/>
  <c r="I70" i="118" a="1"/>
  <c r="I70" i="118" s="1"/>
  <c r="H70" i="118" a="1"/>
  <c r="H70" i="118" s="1"/>
  <c r="G70" i="118" a="1"/>
  <c r="G70" i="118" s="1"/>
  <c r="F70" i="118" a="1"/>
  <c r="F70" i="118" s="1"/>
  <c r="E70" i="118" a="1"/>
  <c r="E70" i="118" s="1"/>
  <c r="D70" i="118" a="1"/>
  <c r="D70" i="118" s="1"/>
  <c r="I69" i="118" a="1"/>
  <c r="I69" i="118" s="1"/>
  <c r="H69" i="118" a="1"/>
  <c r="H69" i="118" s="1"/>
  <c r="G69" i="118" a="1"/>
  <c r="G69" i="118" s="1"/>
  <c r="F69" i="118" a="1"/>
  <c r="F69" i="118" s="1"/>
  <c r="E69" i="118" a="1"/>
  <c r="E69" i="118" s="1"/>
  <c r="D69" i="118" a="1"/>
  <c r="D69" i="118" s="1"/>
  <c r="I68" i="118" a="1"/>
  <c r="I68" i="118" s="1"/>
  <c r="H68" i="118" a="1"/>
  <c r="H68" i="118" s="1"/>
  <c r="G68" i="118" a="1"/>
  <c r="G68" i="118" s="1"/>
  <c r="F68" i="118" a="1"/>
  <c r="F68" i="118" s="1"/>
  <c r="E68" i="118" a="1"/>
  <c r="E68" i="118" s="1"/>
  <c r="D68" i="118" a="1"/>
  <c r="D68" i="118" s="1"/>
  <c r="I67" i="118" a="1"/>
  <c r="I67" i="118" s="1"/>
  <c r="H67" i="118" a="1"/>
  <c r="H67" i="118" s="1"/>
  <c r="G67" i="118" a="1"/>
  <c r="G67" i="118" s="1"/>
  <c r="F67" i="118" a="1"/>
  <c r="F67" i="118" s="1"/>
  <c r="E67" i="118" a="1"/>
  <c r="E67" i="118" s="1"/>
  <c r="D67" i="118" a="1"/>
  <c r="D67" i="118" s="1"/>
  <c r="I66" i="118" a="1"/>
  <c r="I66" i="118" s="1"/>
  <c r="H66" i="118" a="1"/>
  <c r="H66" i="118" s="1"/>
  <c r="G66" i="118" a="1"/>
  <c r="G66" i="118" s="1"/>
  <c r="F66" i="118" a="1"/>
  <c r="F66" i="118" s="1"/>
  <c r="E66" i="118" a="1"/>
  <c r="E66" i="118" s="1"/>
  <c r="D66" i="118" a="1"/>
  <c r="D66" i="118" s="1"/>
  <c r="I65" i="118" a="1"/>
  <c r="I65" i="118" s="1"/>
  <c r="H65" i="118" a="1"/>
  <c r="H65" i="118" s="1"/>
  <c r="G65" i="118" a="1"/>
  <c r="G65" i="118" s="1"/>
  <c r="F65" i="118" a="1"/>
  <c r="F65" i="118" s="1"/>
  <c r="E65" i="118" a="1"/>
  <c r="E65" i="118" s="1"/>
  <c r="D65" i="118" a="1"/>
  <c r="D65" i="118" s="1"/>
  <c r="I64" i="118" a="1"/>
  <c r="I64" i="118" s="1"/>
  <c r="H64" i="118" a="1"/>
  <c r="H64" i="118" s="1"/>
  <c r="G64" i="118" a="1"/>
  <c r="G64" i="118" s="1"/>
  <c r="F64" i="118" a="1"/>
  <c r="F64" i="118" s="1"/>
  <c r="E64" i="118" a="1"/>
  <c r="E64" i="118" s="1"/>
  <c r="D64" i="118" a="1"/>
  <c r="D64" i="118" s="1"/>
  <c r="I63" i="118" a="1"/>
  <c r="I63" i="118" s="1"/>
  <c r="H63" i="118" a="1"/>
  <c r="H63" i="118" s="1"/>
  <c r="G63" i="118" a="1"/>
  <c r="G63" i="118" s="1"/>
  <c r="F63" i="118" a="1"/>
  <c r="F63" i="118" s="1"/>
  <c r="E63" i="118" a="1"/>
  <c r="E63" i="118" s="1"/>
  <c r="D63" i="118" a="1"/>
  <c r="D63" i="118" s="1"/>
  <c r="I62" i="118" a="1"/>
  <c r="I62" i="118" s="1"/>
  <c r="H62" i="118" a="1"/>
  <c r="H62" i="118" s="1"/>
  <c r="G62" i="118" a="1"/>
  <c r="G62" i="118" s="1"/>
  <c r="F62" i="118" a="1"/>
  <c r="F62" i="118" s="1"/>
  <c r="E62" i="118" a="1"/>
  <c r="E62" i="118" s="1"/>
  <c r="D62" i="118" a="1"/>
  <c r="D62" i="118" s="1"/>
  <c r="I61" i="118" a="1"/>
  <c r="I61" i="118" s="1"/>
  <c r="H61" i="118" a="1"/>
  <c r="H61" i="118" s="1"/>
  <c r="G61" i="118" a="1"/>
  <c r="G61" i="118" s="1"/>
  <c r="F61" i="118" a="1"/>
  <c r="F61" i="118" s="1"/>
  <c r="E61" i="118" a="1"/>
  <c r="E61" i="118" s="1"/>
  <c r="D61" i="118" a="1"/>
  <c r="D61" i="118" s="1"/>
  <c r="I60" i="118" a="1"/>
  <c r="I60" i="118" s="1"/>
  <c r="H60" i="118" a="1"/>
  <c r="H60" i="118" s="1"/>
  <c r="G60" i="118" a="1"/>
  <c r="G60" i="118" s="1"/>
  <c r="F60" i="118" a="1"/>
  <c r="F60" i="118" s="1"/>
  <c r="E60" i="118" a="1"/>
  <c r="E60" i="118" s="1"/>
  <c r="D60" i="118" a="1"/>
  <c r="D60" i="118" s="1"/>
  <c r="I59" i="118" a="1"/>
  <c r="I59" i="118" s="1"/>
  <c r="H59" i="118" a="1"/>
  <c r="H59" i="118" s="1"/>
  <c r="G59" i="118" a="1"/>
  <c r="G59" i="118" s="1"/>
  <c r="F59" i="118" a="1"/>
  <c r="F59" i="118" s="1"/>
  <c r="E59" i="118" a="1"/>
  <c r="E59" i="118" s="1"/>
  <c r="D59" i="118" a="1"/>
  <c r="D59" i="118" s="1"/>
  <c r="I58" i="118" a="1"/>
  <c r="I58" i="118" s="1"/>
  <c r="H58" i="118" a="1"/>
  <c r="H58" i="118" s="1"/>
  <c r="G58" i="118" a="1"/>
  <c r="G58" i="118" s="1"/>
  <c r="F58" i="118" a="1"/>
  <c r="F58" i="118" s="1"/>
  <c r="E58" i="118" a="1"/>
  <c r="E58" i="118" s="1"/>
  <c r="D58" i="118" a="1"/>
  <c r="D58" i="118" s="1"/>
  <c r="I57" i="118" a="1"/>
  <c r="I57" i="118" s="1"/>
  <c r="H57" i="118" a="1"/>
  <c r="H57" i="118" s="1"/>
  <c r="G57" i="118" a="1"/>
  <c r="G57" i="118" s="1"/>
  <c r="F57" i="118" a="1"/>
  <c r="F57" i="118" s="1"/>
  <c r="E57" i="118" a="1"/>
  <c r="E57" i="118" s="1"/>
  <c r="D57" i="118" a="1"/>
  <c r="D57" i="118" s="1"/>
  <c r="I56" i="118" a="1"/>
  <c r="I56" i="118" s="1"/>
  <c r="H56" i="118" a="1"/>
  <c r="H56" i="118" s="1"/>
  <c r="G56" i="118" a="1"/>
  <c r="G56" i="118" s="1"/>
  <c r="F56" i="118" a="1"/>
  <c r="F56" i="118" s="1"/>
  <c r="E56" i="118" a="1"/>
  <c r="E56" i="118" s="1"/>
  <c r="D56" i="118" a="1"/>
  <c r="D56" i="118" s="1"/>
  <c r="I55" i="118" a="1"/>
  <c r="I55" i="118" s="1"/>
  <c r="H55" i="118" a="1"/>
  <c r="H55" i="118" s="1"/>
  <c r="G55" i="118" a="1"/>
  <c r="G55" i="118" s="1"/>
  <c r="F55" i="118" a="1"/>
  <c r="F55" i="118" s="1"/>
  <c r="E55" i="118" a="1"/>
  <c r="E55" i="118" s="1"/>
  <c r="D55" i="118" a="1"/>
  <c r="D55" i="118" s="1"/>
  <c r="I54" i="118" a="1"/>
  <c r="I54" i="118" s="1"/>
  <c r="H54" i="118" a="1"/>
  <c r="H54" i="118" s="1"/>
  <c r="G54" i="118" a="1"/>
  <c r="G54" i="118" s="1"/>
  <c r="F54" i="118" a="1"/>
  <c r="F54" i="118" s="1"/>
  <c r="E54" i="118" a="1"/>
  <c r="E54" i="118" s="1"/>
  <c r="D54" i="118" a="1"/>
  <c r="D54" i="118" s="1"/>
  <c r="I53" i="118" a="1"/>
  <c r="I53" i="118" s="1"/>
  <c r="H53" i="118" a="1"/>
  <c r="H53" i="118" s="1"/>
  <c r="G53" i="118" a="1"/>
  <c r="G53" i="118" s="1"/>
  <c r="F53" i="118" a="1"/>
  <c r="F53" i="118" s="1"/>
  <c r="E53" i="118" a="1"/>
  <c r="E53" i="118" s="1"/>
  <c r="D53" i="118" a="1"/>
  <c r="D53" i="118" s="1"/>
  <c r="I52" i="118" a="1"/>
  <c r="I52" i="118" s="1"/>
  <c r="H52" i="118" a="1"/>
  <c r="H52" i="118" s="1"/>
  <c r="G52" i="118" a="1"/>
  <c r="G52" i="118" s="1"/>
  <c r="F52" i="118" a="1"/>
  <c r="F52" i="118" s="1"/>
  <c r="E52" i="118" a="1"/>
  <c r="E52" i="118" s="1"/>
  <c r="D52" i="118" a="1"/>
  <c r="D52" i="118" s="1"/>
  <c r="I51" i="118" a="1"/>
  <c r="I51" i="118" s="1"/>
  <c r="H51" i="118" a="1"/>
  <c r="H51" i="118" s="1"/>
  <c r="G51" i="118" a="1"/>
  <c r="G51" i="118" s="1"/>
  <c r="F51" i="118" a="1"/>
  <c r="F51" i="118" s="1"/>
  <c r="E51" i="118" a="1"/>
  <c r="E51" i="118" s="1"/>
  <c r="D51" i="118" a="1"/>
  <c r="D51" i="118" s="1"/>
  <c r="I50" i="118" a="1"/>
  <c r="I50" i="118" s="1"/>
  <c r="H50" i="118" a="1"/>
  <c r="H50" i="118" s="1"/>
  <c r="G50" i="118" a="1"/>
  <c r="G50" i="118" s="1"/>
  <c r="F50" i="118" a="1"/>
  <c r="F50" i="118" s="1"/>
  <c r="E50" i="118" a="1"/>
  <c r="E50" i="118" s="1"/>
  <c r="D50" i="118" a="1"/>
  <c r="D50" i="118" s="1"/>
  <c r="I49" i="118" a="1"/>
  <c r="I49" i="118" s="1"/>
  <c r="H49" i="118" a="1"/>
  <c r="H49" i="118" s="1"/>
  <c r="G49" i="118" a="1"/>
  <c r="G49" i="118" s="1"/>
  <c r="F49" i="118" a="1"/>
  <c r="F49" i="118" s="1"/>
  <c r="E49" i="118" a="1"/>
  <c r="E49" i="118" s="1"/>
  <c r="D49" i="118" a="1"/>
  <c r="D49" i="118" s="1"/>
  <c r="I48" i="118" a="1"/>
  <c r="I48" i="118" s="1"/>
  <c r="H48" i="118" a="1"/>
  <c r="H48" i="118" s="1"/>
  <c r="G48" i="118" a="1"/>
  <c r="G48" i="118" s="1"/>
  <c r="F48" i="118" a="1"/>
  <c r="F48" i="118" s="1"/>
  <c r="E48" i="118" a="1"/>
  <c r="E48" i="118" s="1"/>
  <c r="D48" i="118" a="1"/>
  <c r="D48" i="118" s="1"/>
  <c r="I47" i="118" a="1"/>
  <c r="I47" i="118" s="1"/>
  <c r="H47" i="118" a="1"/>
  <c r="H47" i="118" s="1"/>
  <c r="G47" i="118" a="1"/>
  <c r="G47" i="118" s="1"/>
  <c r="F47" i="118" a="1"/>
  <c r="F47" i="118" s="1"/>
  <c r="E47" i="118" a="1"/>
  <c r="E47" i="118" s="1"/>
  <c r="D47" i="118" a="1"/>
  <c r="D47" i="118" s="1"/>
  <c r="I46" i="118" a="1"/>
  <c r="I46" i="118" s="1"/>
  <c r="H46" i="118" a="1"/>
  <c r="H46" i="118" s="1"/>
  <c r="G46" i="118" a="1"/>
  <c r="G46" i="118" s="1"/>
  <c r="F46" i="118" a="1"/>
  <c r="F46" i="118" s="1"/>
  <c r="E46" i="118" a="1"/>
  <c r="E46" i="118" s="1"/>
  <c r="D46" i="118" a="1"/>
  <c r="D46" i="118" s="1"/>
  <c r="I45" i="118" a="1"/>
  <c r="I45" i="118" s="1"/>
  <c r="H45" i="118" a="1"/>
  <c r="H45" i="118" s="1"/>
  <c r="G45" i="118"/>
  <c r="G45" i="118" a="1"/>
  <c r="F45" i="118" a="1"/>
  <c r="F45" i="118" s="1"/>
  <c r="E45" i="118" a="1"/>
  <c r="E45" i="118" s="1"/>
  <c r="D45" i="118" a="1"/>
  <c r="D45" i="118" s="1"/>
  <c r="I44" i="118" a="1"/>
  <c r="I44" i="118" s="1"/>
  <c r="H44" i="118" a="1"/>
  <c r="H44" i="118" s="1"/>
  <c r="G44" i="118" a="1"/>
  <c r="G44" i="118" s="1"/>
  <c r="F44" i="118" a="1"/>
  <c r="F44" i="118" s="1"/>
  <c r="E44" i="118" a="1"/>
  <c r="E44" i="118" s="1"/>
  <c r="D44" i="118" a="1"/>
  <c r="D44" i="118" s="1"/>
  <c r="I43" i="118" a="1"/>
  <c r="I43" i="118" s="1"/>
  <c r="H43" i="118" a="1"/>
  <c r="H43" i="118" s="1"/>
  <c r="G43" i="118" a="1"/>
  <c r="G43" i="118" s="1"/>
  <c r="F43" i="118" a="1"/>
  <c r="F43" i="118" s="1"/>
  <c r="E43" i="118" a="1"/>
  <c r="E43" i="118" s="1"/>
  <c r="D43" i="118" a="1"/>
  <c r="D43" i="118" s="1"/>
  <c r="I42" i="118" a="1"/>
  <c r="I42" i="118" s="1"/>
  <c r="H42" i="118" a="1"/>
  <c r="H42" i="118" s="1"/>
  <c r="G42" i="118"/>
  <c r="G42" i="118" a="1"/>
  <c r="F42" i="118"/>
  <c r="F42" i="118" a="1"/>
  <c r="E42" i="118"/>
  <c r="E42" i="118" a="1"/>
  <c r="D42" i="118" a="1"/>
  <c r="D42" i="118" s="1"/>
  <c r="I41" i="118" a="1"/>
  <c r="I41" i="118" s="1"/>
  <c r="H41" i="118" a="1"/>
  <c r="H41" i="118" s="1"/>
  <c r="G41" i="118" a="1"/>
  <c r="G41" i="118" s="1"/>
  <c r="F41" i="118" a="1"/>
  <c r="F41" i="118" s="1"/>
  <c r="E41" i="118"/>
  <c r="E41" i="118" a="1"/>
  <c r="D41" i="118"/>
  <c r="D41" i="118" a="1"/>
  <c r="I40" i="118" a="1"/>
  <c r="I40" i="118" s="1"/>
  <c r="H40" i="118" a="1"/>
  <c r="H40" i="118" s="1"/>
  <c r="G40" i="118" a="1"/>
  <c r="G40" i="118" s="1"/>
  <c r="F40" i="118" a="1"/>
  <c r="F40" i="118" s="1"/>
  <c r="E40" i="118" a="1"/>
  <c r="E40" i="118" s="1"/>
  <c r="D40" i="118" a="1"/>
  <c r="D40" i="118" s="1"/>
  <c r="I39" i="118"/>
  <c r="I39" i="118" a="1"/>
  <c r="H39" i="118" a="1"/>
  <c r="H39" i="118" s="1"/>
  <c r="G39" i="118" a="1"/>
  <c r="G39" i="118" s="1"/>
  <c r="F39" i="118" a="1"/>
  <c r="F39" i="118" s="1"/>
  <c r="E39" i="118" a="1"/>
  <c r="E39" i="118" s="1"/>
  <c r="D39" i="118" a="1"/>
  <c r="D39" i="118" s="1"/>
  <c r="I38" i="118" a="1"/>
  <c r="I38" i="118" s="1"/>
  <c r="H38" i="118" a="1"/>
  <c r="H38" i="118" s="1"/>
  <c r="G38" i="118" a="1"/>
  <c r="G38" i="118" s="1"/>
  <c r="F38" i="118" a="1"/>
  <c r="F38" i="118" s="1"/>
  <c r="E38" i="118" a="1"/>
  <c r="E38" i="118" s="1"/>
  <c r="D38" i="118" a="1"/>
  <c r="D38" i="118" s="1"/>
  <c r="I37" i="118" a="1"/>
  <c r="I37" i="118" s="1"/>
  <c r="H37" i="118" a="1"/>
  <c r="H37" i="118" s="1"/>
  <c r="G37" i="118" a="1"/>
  <c r="G37" i="118" s="1"/>
  <c r="F37" i="118" a="1"/>
  <c r="F37" i="118" s="1"/>
  <c r="E37" i="118" a="1"/>
  <c r="E37" i="118" s="1"/>
  <c r="D37" i="118" a="1"/>
  <c r="D37" i="118" s="1"/>
  <c r="I36" i="118"/>
  <c r="I36" i="118" a="1"/>
  <c r="H36" i="118" a="1"/>
  <c r="H36" i="118" s="1"/>
  <c r="G36" i="118" a="1"/>
  <c r="G36" i="118" s="1"/>
  <c r="F36" i="118" a="1"/>
  <c r="F36" i="118" s="1"/>
  <c r="E36" i="118" a="1"/>
  <c r="E36" i="118" s="1"/>
  <c r="D36" i="118" a="1"/>
  <c r="D36" i="118" s="1"/>
  <c r="I35" i="118" a="1"/>
  <c r="I35" i="118" s="1"/>
  <c r="H35" i="118" a="1"/>
  <c r="H35" i="118" s="1"/>
  <c r="G35" i="118" a="1"/>
  <c r="G35" i="118" s="1"/>
  <c r="F35" i="118" a="1"/>
  <c r="F35" i="118" s="1"/>
  <c r="E35" i="118" a="1"/>
  <c r="E35" i="118" s="1"/>
  <c r="D35" i="118" a="1"/>
  <c r="D35" i="118" s="1"/>
  <c r="I34" i="118" a="1"/>
  <c r="I34" i="118" s="1"/>
  <c r="H34" i="118" a="1"/>
  <c r="H34" i="118" s="1"/>
  <c r="G34" i="118" a="1"/>
  <c r="G34" i="118" s="1"/>
  <c r="F34" i="118" a="1"/>
  <c r="F34" i="118" s="1"/>
  <c r="E34" i="118" a="1"/>
  <c r="E34" i="118" s="1"/>
  <c r="D34" i="118" a="1"/>
  <c r="D34" i="118" s="1"/>
  <c r="R85" i="117" a="1"/>
  <c r="R85" i="117" s="1"/>
  <c r="N85" i="117" a="1"/>
  <c r="N85" i="117" s="1"/>
  <c r="H85" i="117" a="1"/>
  <c r="H85" i="117" s="1"/>
  <c r="D85" i="117" a="1"/>
  <c r="D85" i="117" s="1"/>
  <c r="O83" i="117" a="1"/>
  <c r="O83" i="117" s="1"/>
  <c r="E83" i="117" a="1"/>
  <c r="E83" i="117" s="1"/>
  <c r="O82" i="117" a="1"/>
  <c r="O82" i="117" s="1"/>
  <c r="E82" i="117" a="1"/>
  <c r="E82" i="117" s="1"/>
  <c r="N78" i="117" a="1"/>
  <c r="N78" i="117" s="1"/>
  <c r="D78" i="117" a="1"/>
  <c r="D78" i="117" s="1"/>
  <c r="N77" i="117" a="1"/>
  <c r="N77" i="117" s="1"/>
  <c r="D77" i="117" a="1"/>
  <c r="D77" i="117" s="1"/>
  <c r="I72" i="117"/>
  <c r="I71" i="117"/>
  <c r="I70" i="117"/>
  <c r="S67" i="117"/>
  <c r="Q67" i="117" a="1"/>
  <c r="Q67" i="117" s="1"/>
  <c r="N67" i="117" a="1"/>
  <c r="N67" i="117" s="1"/>
  <c r="I67" i="117"/>
  <c r="G67" i="117" a="1"/>
  <c r="G67" i="117" s="1"/>
  <c r="D67" i="117" a="1"/>
  <c r="D67" i="117" s="1"/>
  <c r="O65" i="117" a="1"/>
  <c r="O65" i="117" s="1"/>
  <c r="E65" i="117" a="1"/>
  <c r="E65" i="117" s="1"/>
  <c r="O64" i="117" a="1"/>
  <c r="O64" i="117" s="1"/>
  <c r="E64" i="117" a="1"/>
  <c r="E64" i="117" s="1"/>
  <c r="N60" i="117" a="1"/>
  <c r="N60" i="117" s="1"/>
  <c r="D60" i="117" a="1"/>
  <c r="D60" i="117" s="1"/>
  <c r="N59" i="117" a="1"/>
  <c r="N59" i="117" s="1"/>
  <c r="D59" i="117" a="1"/>
  <c r="D59" i="117" s="1"/>
  <c r="I52" i="117"/>
  <c r="I51" i="117"/>
  <c r="Q48" i="117" a="1"/>
  <c r="Q48" i="117" s="1"/>
  <c r="N48" i="117" a="1"/>
  <c r="N48" i="117" s="1"/>
  <c r="G48" i="117" a="1"/>
  <c r="G48" i="117" s="1"/>
  <c r="D48" i="117" a="1"/>
  <c r="D48" i="117" s="1"/>
  <c r="O46" i="117" a="1"/>
  <c r="O46" i="117" s="1"/>
  <c r="E46" i="117" a="1"/>
  <c r="E46" i="117" s="1"/>
  <c r="O45" i="117" a="1"/>
  <c r="O45" i="117" s="1"/>
  <c r="E45" i="117" a="1"/>
  <c r="E45" i="117" s="1"/>
  <c r="N41" i="117" a="1"/>
  <c r="N41" i="117" s="1"/>
  <c r="D41" i="117" a="1"/>
  <c r="D41" i="117" s="1"/>
  <c r="N40" i="117" a="1"/>
  <c r="N40" i="117" s="1"/>
  <c r="D40" i="117"/>
  <c r="D40" i="117" a="1"/>
  <c r="S32" i="117"/>
  <c r="Q32" i="117" a="1"/>
  <c r="Q32" i="117" s="1"/>
  <c r="N32" i="117" a="1"/>
  <c r="N32" i="117" s="1"/>
  <c r="I32" i="117"/>
  <c r="G32" i="117" a="1"/>
  <c r="G32" i="117" s="1"/>
  <c r="D32" i="117" a="1"/>
  <c r="D32" i="117" s="1"/>
  <c r="O30" i="117" a="1"/>
  <c r="O30" i="117" s="1"/>
  <c r="P35" i="117" s="1"/>
  <c r="E30" i="117" a="1"/>
  <c r="E30" i="117" s="1"/>
  <c r="F35" i="117" s="1"/>
  <c r="O29" i="117" a="1"/>
  <c r="O29" i="117" s="1"/>
  <c r="E29" i="117" a="1"/>
  <c r="E29" i="117" s="1"/>
  <c r="N25" i="117"/>
  <c r="N25" i="117" a="1"/>
  <c r="D25" i="117" a="1"/>
  <c r="D25" i="117" s="1"/>
  <c r="N24" i="117" a="1"/>
  <c r="N24" i="117" s="1"/>
  <c r="D24" i="117" a="1"/>
  <c r="D24" i="117" s="1"/>
  <c r="J16" i="117"/>
  <c r="T13" i="117"/>
  <c r="R13" i="117" a="1"/>
  <c r="R13" i="117" s="1"/>
  <c r="N13" i="117" a="1"/>
  <c r="N13" i="117" s="1"/>
  <c r="J13" i="117"/>
  <c r="H13" i="117" a="1"/>
  <c r="H13" i="117" s="1"/>
  <c r="D13" i="117" a="1"/>
  <c r="D13" i="117" s="1"/>
  <c r="O11" i="117"/>
  <c r="O11" i="117" a="1"/>
  <c r="E11" i="117" a="1"/>
  <c r="E11" i="117" s="1"/>
  <c r="P19" i="117" s="1"/>
  <c r="O10" i="117" a="1"/>
  <c r="O10" i="117" s="1"/>
  <c r="E10" i="117"/>
  <c r="E10" i="117" a="1"/>
  <c r="N6" i="117" a="1"/>
  <c r="N6" i="117" s="1"/>
  <c r="D6" i="117" a="1"/>
  <c r="D6" i="117" s="1"/>
  <c r="N5" i="117" a="1"/>
  <c r="N5" i="117" s="1"/>
  <c r="D5" i="117"/>
  <c r="D5" i="117" a="1"/>
  <c r="J651" i="116" a="1"/>
  <c r="J651" i="116" s="1"/>
  <c r="J650" i="116" a="1"/>
  <c r="J650" i="116" s="1"/>
  <c r="J649" i="116" a="1"/>
  <c r="J649" i="116" s="1"/>
  <c r="J645" i="116" a="1"/>
  <c r="J645" i="116" s="1"/>
  <c r="J643" i="116" a="1"/>
  <c r="J643" i="116" s="1"/>
  <c r="J632" i="116" a="1"/>
  <c r="J632" i="116" s="1"/>
  <c r="J631" i="116" a="1"/>
  <c r="J631" i="116" s="1"/>
  <c r="J629" i="116" a="1"/>
  <c r="J629" i="116" s="1"/>
  <c r="J626" i="116" a="1"/>
  <c r="J626" i="116" s="1"/>
  <c r="G616" i="116" a="1"/>
  <c r="G616" i="116" s="1"/>
  <c r="D616" i="116" a="1"/>
  <c r="D616" i="116" s="1"/>
  <c r="E614" i="116" a="1"/>
  <c r="E614" i="116" s="1"/>
  <c r="E613" i="116" a="1"/>
  <c r="E613" i="116" s="1"/>
  <c r="D608" i="116" a="1"/>
  <c r="D608" i="116" s="1"/>
  <c r="D607" i="116" a="1"/>
  <c r="D607" i="116" s="1"/>
  <c r="E601" i="116" a="1"/>
  <c r="E601" i="116" s="1"/>
  <c r="F603" i="116" s="1"/>
  <c r="E600" i="116" a="1"/>
  <c r="E600" i="116" s="1"/>
  <c r="D598" i="116" a="1"/>
  <c r="D598" i="116" s="1"/>
  <c r="D597" i="116" a="1"/>
  <c r="D597" i="116" s="1"/>
  <c r="N593" i="116" a="1"/>
  <c r="N593" i="116" s="1"/>
  <c r="F593" i="116" a="1"/>
  <c r="F593" i="116" s="1"/>
  <c r="L590" i="116" a="1"/>
  <c r="L590" i="116" s="1"/>
  <c r="D590" i="116" a="1"/>
  <c r="D590" i="116" s="1"/>
  <c r="P584" i="116" a="1"/>
  <c r="P584" i="116" s="1"/>
  <c r="L584" i="116" a="1"/>
  <c r="L584" i="116" s="1"/>
  <c r="H584" i="116" a="1"/>
  <c r="H584" i="116" s="1"/>
  <c r="D584" i="116" a="1"/>
  <c r="D584" i="116" s="1"/>
  <c r="E580" i="116" a="1"/>
  <c r="E580" i="116" s="1"/>
  <c r="N588" i="116" s="1"/>
  <c r="E579" i="116" a="1"/>
  <c r="E579" i="116" s="1"/>
  <c r="D575" i="116" a="1"/>
  <c r="D575" i="116" s="1"/>
  <c r="D574" i="116" a="1"/>
  <c r="D574" i="116" s="1"/>
  <c r="I568" i="116"/>
  <c r="I564" i="116"/>
  <c r="I563" i="116"/>
  <c r="I562" i="116"/>
  <c r="G562" i="116" a="1"/>
  <c r="G562" i="116" s="1"/>
  <c r="D562" i="116" a="1"/>
  <c r="D562" i="116" s="1"/>
  <c r="E560" i="116" a="1"/>
  <c r="E560" i="116" s="1"/>
  <c r="E559" i="116" a="1"/>
  <c r="E559" i="116" s="1"/>
  <c r="D554" i="116" a="1"/>
  <c r="D554" i="116" s="1"/>
  <c r="D553" i="116" a="1"/>
  <c r="D553" i="116" s="1"/>
  <c r="D552" i="116" a="1"/>
  <c r="D552" i="116" s="1"/>
  <c r="I546" i="116"/>
  <c r="I544" i="116"/>
  <c r="G544" i="116" a="1"/>
  <c r="G544" i="116" s="1"/>
  <c r="D544" i="116" a="1"/>
  <c r="D544" i="116" s="1"/>
  <c r="E542" i="116" a="1"/>
  <c r="E542" i="116" s="1"/>
  <c r="E541" i="116" a="1"/>
  <c r="E541" i="116" s="1"/>
  <c r="D537" i="116" a="1"/>
  <c r="D537" i="116" s="1"/>
  <c r="D536" i="116" a="1"/>
  <c r="D536" i="116" s="1"/>
  <c r="G530" i="116" a="1"/>
  <c r="G530" i="116" s="1"/>
  <c r="D530" i="116" a="1"/>
  <c r="D530" i="116" s="1"/>
  <c r="E528" i="116" a="1"/>
  <c r="E528" i="116" s="1"/>
  <c r="E527" i="116" a="1"/>
  <c r="E527" i="116" s="1"/>
  <c r="D522" i="116" a="1"/>
  <c r="D522" i="116" s="1"/>
  <c r="D521" i="116" a="1"/>
  <c r="D521" i="116" s="1"/>
  <c r="K514" i="116" a="1"/>
  <c r="K514" i="116" s="1"/>
  <c r="K513" i="116" a="1"/>
  <c r="K513" i="116" s="1"/>
  <c r="K510" i="116" a="1"/>
  <c r="K510" i="116" s="1"/>
  <c r="K509" i="116" a="1"/>
  <c r="K509" i="116" s="1"/>
  <c r="K507" i="116" a="1"/>
  <c r="K507" i="116" s="1"/>
  <c r="K506" i="116" a="1"/>
  <c r="K506" i="116" s="1"/>
  <c r="K508" i="116" a="1"/>
  <c r="K508" i="116" s="1"/>
  <c r="E496" i="116"/>
  <c r="I496" i="116" s="1" a="1"/>
  <c r="I496" i="116" s="1"/>
  <c r="E495" i="116"/>
  <c r="E494" i="116"/>
  <c r="I494" i="116" s="1" a="1"/>
  <c r="I494" i="116" s="1"/>
  <c r="E485" i="116"/>
  <c r="I485" i="116" s="1" a="1"/>
  <c r="I485" i="116" s="1"/>
  <c r="E484" i="116"/>
  <c r="E483" i="116"/>
  <c r="I483" i="116" s="1" a="1"/>
  <c r="I483" i="116" s="1"/>
  <c r="E482" i="116"/>
  <c r="E481" i="116"/>
  <c r="I481" i="116" s="1" a="1"/>
  <c r="I481" i="116" s="1"/>
  <c r="J468" i="116" a="1"/>
  <c r="J468" i="116" s="1"/>
  <c r="J465" i="116" a="1"/>
  <c r="J465" i="116" s="1"/>
  <c r="J446" i="116" a="1"/>
  <c r="J446" i="116" s="1"/>
  <c r="J447" i="116" a="1"/>
  <c r="J447" i="116" s="1"/>
  <c r="G439" i="116" a="1"/>
  <c r="G439" i="116" s="1"/>
  <c r="D439" i="116" a="1"/>
  <c r="D439" i="116" s="1"/>
  <c r="E437" i="116" a="1"/>
  <c r="E437" i="116" s="1"/>
  <c r="E436" i="116" a="1"/>
  <c r="E436" i="116" s="1"/>
  <c r="D431" i="116" a="1"/>
  <c r="D431" i="116" s="1"/>
  <c r="D430" i="116" a="1"/>
  <c r="D430" i="116" s="1"/>
  <c r="J421" i="116" a="1"/>
  <c r="J421" i="116" s="1"/>
  <c r="J420" i="116" a="1"/>
  <c r="J420" i="116" s="1"/>
  <c r="J419" i="116" a="1"/>
  <c r="J419" i="116" s="1"/>
  <c r="J418" i="116" a="1"/>
  <c r="J418" i="116" s="1"/>
  <c r="J415" i="116" a="1"/>
  <c r="J415" i="116" s="1"/>
  <c r="J414" i="116" a="1"/>
  <c r="J414" i="116" s="1"/>
  <c r="K419" i="116"/>
  <c r="F407" i="116"/>
  <c r="F407" i="116" a="1"/>
  <c r="D407" i="116" a="1"/>
  <c r="D407" i="116" s="1"/>
  <c r="E405" i="116" a="1"/>
  <c r="E405" i="116" s="1"/>
  <c r="E404" i="116" a="1"/>
  <c r="E404" i="116" s="1"/>
  <c r="D399" i="116" a="1"/>
  <c r="D399" i="116" s="1"/>
  <c r="D398" i="116" a="1"/>
  <c r="D398" i="116" s="1"/>
  <c r="J382" i="116" a="1"/>
  <c r="J382" i="116" s="1"/>
  <c r="F377" i="116" a="1"/>
  <c r="F377" i="116" s="1"/>
  <c r="D377" i="116" a="1"/>
  <c r="D377" i="116" s="1"/>
  <c r="E375" i="116" a="1"/>
  <c r="E375" i="116" s="1"/>
  <c r="E374" i="116" a="1"/>
  <c r="E374" i="116" s="1"/>
  <c r="D369" i="116"/>
  <c r="D369" i="116" a="1"/>
  <c r="D368" i="116"/>
  <c r="D368" i="116" a="1"/>
  <c r="D367" i="116" a="1"/>
  <c r="D367" i="116" s="1"/>
  <c r="K360" i="116" a="1"/>
  <c r="K360" i="116" s="1"/>
  <c r="L359" i="116"/>
  <c r="K359" i="116" a="1"/>
  <c r="K359" i="116" s="1"/>
  <c r="L358" i="116"/>
  <c r="K355" i="116" a="1"/>
  <c r="K355" i="116" s="1"/>
  <c r="K354" i="116" a="1"/>
  <c r="K354" i="116" s="1"/>
  <c r="K353" i="116" a="1"/>
  <c r="K353" i="116" s="1"/>
  <c r="G344" i="116" a="1"/>
  <c r="G344" i="116" s="1"/>
  <c r="D344" i="116" a="1"/>
  <c r="D344" i="116" s="1"/>
  <c r="E342" i="116" a="1"/>
  <c r="E342" i="116" s="1"/>
  <c r="E341" i="116" a="1"/>
  <c r="E341" i="116" s="1"/>
  <c r="D337" i="116" a="1"/>
  <c r="D337" i="116" s="1"/>
  <c r="D336" i="116" a="1"/>
  <c r="D336" i="116" s="1"/>
  <c r="F311" i="116" a="1"/>
  <c r="G315" i="116" s="1"/>
  <c r="D311" i="116" a="1"/>
  <c r="D311" i="116" s="1"/>
  <c r="E309" i="116" a="1"/>
  <c r="E309" i="116" s="1"/>
  <c r="E308" i="116" a="1"/>
  <c r="E308" i="116" s="1"/>
  <c r="D304" i="116" a="1"/>
  <c r="D304" i="116" s="1"/>
  <c r="D303" i="116" a="1"/>
  <c r="D303" i="116" s="1"/>
  <c r="G280" i="116" a="1"/>
  <c r="G280" i="116" s="1"/>
  <c r="D280" i="116"/>
  <c r="D280" i="116" a="1"/>
  <c r="E278" i="116" a="1"/>
  <c r="E278" i="116" s="1"/>
  <c r="E277" i="116" a="1"/>
  <c r="E277" i="116" s="1"/>
  <c r="D272" i="116" a="1"/>
  <c r="D272" i="116" s="1"/>
  <c r="D271" i="116" a="1"/>
  <c r="D271" i="116" s="1"/>
  <c r="G224" i="116" a="1"/>
  <c r="G224" i="116" s="1"/>
  <c r="D224" i="116" a="1"/>
  <c r="D224" i="116" s="1"/>
  <c r="E222" i="116" a="1"/>
  <c r="E222" i="116" s="1"/>
  <c r="E221" i="116" a="1"/>
  <c r="E221" i="116" s="1"/>
  <c r="D217" i="116" a="1"/>
  <c r="D217" i="116" s="1"/>
  <c r="D216" i="116" a="1"/>
  <c r="D216" i="116" s="1"/>
  <c r="D215" i="116" a="1"/>
  <c r="D215" i="116" s="1"/>
  <c r="G209" i="116" a="1"/>
  <c r="G209" i="116" s="1"/>
  <c r="D209" i="116" a="1"/>
  <c r="D209" i="116" s="1"/>
  <c r="E207" i="116" a="1"/>
  <c r="E207" i="116" s="1"/>
  <c r="E206" i="116" a="1"/>
  <c r="E206" i="116" s="1"/>
  <c r="D202" i="116" a="1"/>
  <c r="D202" i="116" s="1"/>
  <c r="D201" i="116" a="1"/>
  <c r="D201" i="116" s="1"/>
  <c r="G195" i="116" a="1"/>
  <c r="G195" i="116" s="1"/>
  <c r="D195" i="116" a="1"/>
  <c r="D195" i="116" s="1"/>
  <c r="E193" i="116" a="1"/>
  <c r="E193" i="116" s="1"/>
  <c r="E192" i="116" a="1"/>
  <c r="E192" i="116" s="1"/>
  <c r="D188" i="116" a="1"/>
  <c r="D188" i="116" s="1"/>
  <c r="D187" i="116" a="1"/>
  <c r="D187" i="116" s="1"/>
  <c r="D186" i="116" a="1"/>
  <c r="D186" i="116" s="1"/>
  <c r="E179" i="116"/>
  <c r="I179" i="116" s="1" a="1"/>
  <c r="I179" i="116" s="1"/>
  <c r="E178" i="116"/>
  <c r="I178" i="116" s="1" a="1"/>
  <c r="I178" i="116" s="1"/>
  <c r="E177" i="116"/>
  <c r="I177" i="116" s="1" a="1"/>
  <c r="I177" i="116" s="1"/>
  <c r="G172" i="116" a="1"/>
  <c r="G172" i="116" s="1"/>
  <c r="D172" i="116" a="1"/>
  <c r="D172" i="116" s="1"/>
  <c r="E170" i="116" a="1"/>
  <c r="E170" i="116" s="1"/>
  <c r="E169" i="116" a="1"/>
  <c r="E169" i="116" s="1"/>
  <c r="F168" i="116" a="1"/>
  <c r="F168" i="116" s="1"/>
  <c r="D165" i="116" a="1"/>
  <c r="D165" i="116" s="1"/>
  <c r="D164" i="116" a="1"/>
  <c r="D164" i="116" s="1"/>
  <c r="E153" i="116"/>
  <c r="E152" i="116"/>
  <c r="E151" i="116"/>
  <c r="E150" i="116"/>
  <c r="E149" i="116"/>
  <c r="E148" i="116"/>
  <c r="I148" i="116" s="1" a="1"/>
  <c r="I148" i="116" s="1"/>
  <c r="E140" i="116"/>
  <c r="E139" i="116"/>
  <c r="E138" i="116"/>
  <c r="I138" i="116" s="1" a="1"/>
  <c r="I138" i="116" s="1"/>
  <c r="E137" i="116"/>
  <c r="I137" i="116" s="1" a="1"/>
  <c r="I137" i="116" s="1"/>
  <c r="I122" i="116" a="1"/>
  <c r="I122" i="116" s="1"/>
  <c r="I121" i="116" a="1"/>
  <c r="I121" i="116" s="1"/>
  <c r="G107" i="116" a="1"/>
  <c r="G107" i="116" s="1"/>
  <c r="D107" i="116" a="1"/>
  <c r="D107" i="116" s="1"/>
  <c r="E105" i="116" a="1"/>
  <c r="E105" i="116" s="1"/>
  <c r="E104" i="116" a="1"/>
  <c r="E104" i="116" s="1"/>
  <c r="D100" i="116" a="1"/>
  <c r="D100" i="116" s="1"/>
  <c r="D99" i="116" a="1"/>
  <c r="D99" i="116" s="1"/>
  <c r="D98" i="116"/>
  <c r="D98" i="116" a="1"/>
  <c r="J42" i="116" a="1"/>
  <c r="J42" i="116" s="1"/>
  <c r="M24" i="116" a="1"/>
  <c r="M24" i="116" s="1"/>
  <c r="M23" i="116" a="1"/>
  <c r="M23" i="116" s="1"/>
  <c r="G13" i="116" a="1"/>
  <c r="G13" i="116" s="1"/>
  <c r="D13" i="116" a="1"/>
  <c r="D13" i="116" s="1"/>
  <c r="E11" i="116" a="1"/>
  <c r="E11" i="116" s="1"/>
  <c r="E10" i="116" a="1"/>
  <c r="E10" i="116" s="1"/>
  <c r="D6" i="116" a="1"/>
  <c r="D6" i="116" s="1"/>
  <c r="D5" i="116" a="1"/>
  <c r="D5" i="116"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E63" i="110" a="1"/>
  <c r="E63" i="110" s="1"/>
  <c r="D63" i="110" a="1"/>
  <c r="D63" i="110" s="1"/>
  <c r="E62" i="110" a="1"/>
  <c r="E62" i="110" s="1"/>
  <c r="D62" i="110" a="1"/>
  <c r="D62" i="110" s="1"/>
  <c r="E61" i="110" a="1"/>
  <c r="E61" i="110" s="1"/>
  <c r="D61" i="110" a="1"/>
  <c r="D61" i="110" s="1"/>
  <c r="E60" i="110" a="1"/>
  <c r="E60" i="110" s="1"/>
  <c r="D60" i="110" a="1"/>
  <c r="D60" i="110" s="1"/>
  <c r="E59" i="110" a="1"/>
  <c r="E59" i="110" s="1"/>
  <c r="D59" i="110" a="1"/>
  <c r="D59" i="110" s="1"/>
  <c r="E58" i="110" a="1"/>
  <c r="E58" i="110" s="1"/>
  <c r="D58" i="110" a="1"/>
  <c r="D58" i="110" s="1"/>
  <c r="D56" i="110" a="1"/>
  <c r="D56" i="110" s="1"/>
  <c r="D55" i="110" a="1"/>
  <c r="D55" i="110" s="1"/>
  <c r="D54" i="110" a="1"/>
  <c r="D54" i="110" s="1"/>
  <c r="D53" i="110" a="1"/>
  <c r="D53" i="110" s="1"/>
  <c r="D52" i="110" a="1"/>
  <c r="D52" i="110" s="1"/>
  <c r="G50" i="110" a="1"/>
  <c r="G50" i="110" s="1"/>
  <c r="F50" i="110" a="1"/>
  <c r="F50" i="110" s="1"/>
  <c r="E50" i="110" a="1"/>
  <c r="E50" i="110" s="1"/>
  <c r="O21" i="110" s="1"/>
  <c r="D50" i="110" a="1"/>
  <c r="D50" i="110" s="1"/>
  <c r="G49" i="110" a="1"/>
  <c r="G49" i="110" s="1"/>
  <c r="F49" i="110" a="1"/>
  <c r="F49" i="110" s="1"/>
  <c r="E49" i="110" a="1"/>
  <c r="E49" i="110" s="1"/>
  <c r="O20" i="110" s="1"/>
  <c r="D49" i="110" a="1"/>
  <c r="D49" i="110" s="1"/>
  <c r="G48" i="110" a="1"/>
  <c r="G48" i="110" s="1"/>
  <c r="F48" i="110" a="1"/>
  <c r="F48" i="110" s="1"/>
  <c r="E48" i="110" a="1"/>
  <c r="E48" i="110" s="1"/>
  <c r="O19" i="110" s="1"/>
  <c r="D48" i="110" a="1"/>
  <c r="D48" i="110" s="1"/>
  <c r="G47" i="110" a="1"/>
  <c r="G47" i="110" s="1"/>
  <c r="F47" i="110" a="1"/>
  <c r="F47" i="110" s="1"/>
  <c r="E47" i="110" a="1"/>
  <c r="E47" i="110" s="1"/>
  <c r="O18" i="110" s="1"/>
  <c r="D47" i="110" a="1"/>
  <c r="D47" i="110" s="1"/>
  <c r="G46" i="110" a="1"/>
  <c r="G46" i="110" s="1"/>
  <c r="F46" i="110" a="1"/>
  <c r="F46" i="110" s="1"/>
  <c r="E46" i="110" a="1"/>
  <c r="E46" i="110" s="1"/>
  <c r="O17" i="110" s="1"/>
  <c r="D46" i="110" a="1"/>
  <c r="D46" i="110" s="1"/>
  <c r="G45" i="110" a="1"/>
  <c r="G45" i="110" s="1"/>
  <c r="F45" i="110" a="1"/>
  <c r="F45" i="110" s="1"/>
  <c r="E45" i="110" a="1"/>
  <c r="E45" i="110" s="1"/>
  <c r="D45" i="110" a="1"/>
  <c r="D45" i="110" s="1"/>
  <c r="G44" i="110" a="1"/>
  <c r="G44" i="110" s="1"/>
  <c r="F44" i="110" a="1"/>
  <c r="F44" i="110" s="1"/>
  <c r="E44" i="110" a="1"/>
  <c r="E44" i="110" s="1"/>
  <c r="M21" i="110" s="1"/>
  <c r="D44" i="110" a="1"/>
  <c r="D44" i="110" s="1"/>
  <c r="G43" i="110" a="1"/>
  <c r="G43" i="110" s="1"/>
  <c r="F43" i="110" a="1"/>
  <c r="F43" i="110" s="1"/>
  <c r="E43" i="110" a="1"/>
  <c r="E43" i="110" s="1"/>
  <c r="M20" i="110" s="1"/>
  <c r="D43" i="110" a="1"/>
  <c r="D43" i="110" s="1"/>
  <c r="G42" i="110" a="1"/>
  <c r="G42" i="110" s="1"/>
  <c r="F42" i="110" a="1"/>
  <c r="F42" i="110" s="1"/>
  <c r="E42" i="110" a="1"/>
  <c r="E42" i="110" s="1"/>
  <c r="M19" i="110" s="1"/>
  <c r="D42" i="110" a="1"/>
  <c r="D42" i="110" s="1"/>
  <c r="G41" i="110" a="1"/>
  <c r="G41" i="110" s="1"/>
  <c r="F41" i="110" a="1"/>
  <c r="F41" i="110" s="1"/>
  <c r="E41" i="110" a="1"/>
  <c r="E41" i="110" s="1"/>
  <c r="M18" i="110" s="1"/>
  <c r="D41" i="110" a="1"/>
  <c r="D41" i="110" s="1"/>
  <c r="G40" i="110" a="1"/>
  <c r="G40" i="110" s="1"/>
  <c r="F40" i="110" a="1"/>
  <c r="F40" i="110" s="1"/>
  <c r="E40" i="110" a="1"/>
  <c r="E40" i="110" s="1"/>
  <c r="M17" i="110" s="1"/>
  <c r="D40" i="110" a="1"/>
  <c r="D40" i="110" s="1"/>
  <c r="G39" i="110" a="1"/>
  <c r="G39" i="110" s="1"/>
  <c r="F39" i="110" a="1"/>
  <c r="F39" i="110" s="1"/>
  <c r="E39" i="110" a="1"/>
  <c r="E39" i="110" s="1"/>
  <c r="D39" i="110" a="1"/>
  <c r="D39" i="110" s="1"/>
  <c r="G38" i="110" a="1"/>
  <c r="G38" i="110" s="1"/>
  <c r="F38" i="110" a="1"/>
  <c r="F38" i="110" s="1"/>
  <c r="E38" i="110" a="1"/>
  <c r="E38" i="110" s="1"/>
  <c r="K26" i="110" s="1"/>
  <c r="D38" i="110" a="1"/>
  <c r="D38" i="110" s="1"/>
  <c r="G37" i="110" a="1"/>
  <c r="G37" i="110" s="1"/>
  <c r="F37" i="110" a="1"/>
  <c r="F37" i="110" s="1"/>
  <c r="E37" i="110" a="1"/>
  <c r="E37" i="110" s="1"/>
  <c r="K25" i="110" s="1"/>
  <c r="D37" i="110" a="1"/>
  <c r="D37" i="110" s="1"/>
  <c r="G36" i="110" a="1"/>
  <c r="G36" i="110" s="1"/>
  <c r="F36" i="110" a="1"/>
  <c r="F36" i="110" s="1"/>
  <c r="E36" i="110" a="1"/>
  <c r="E36" i="110" s="1"/>
  <c r="K24" i="110" s="1"/>
  <c r="D36" i="110" a="1"/>
  <c r="D36" i="110" s="1"/>
  <c r="G35" i="110" a="1"/>
  <c r="G35" i="110" s="1"/>
  <c r="F35" i="110" a="1"/>
  <c r="F35" i="110" s="1"/>
  <c r="E35" i="110" a="1"/>
  <c r="E35" i="110" s="1"/>
  <c r="K23" i="110" s="1"/>
  <c r="D35" i="110" a="1"/>
  <c r="D35" i="110" s="1"/>
  <c r="G34" i="110" a="1"/>
  <c r="G34" i="110" s="1"/>
  <c r="F34" i="110" a="1"/>
  <c r="F34" i="110" s="1"/>
  <c r="E34" i="110" a="1"/>
  <c r="E34" i="110" s="1"/>
  <c r="K22" i="110" s="1"/>
  <c r="D34" i="110" a="1"/>
  <c r="D34" i="110" s="1"/>
  <c r="G33" i="110" a="1"/>
  <c r="G33" i="110" s="1"/>
  <c r="F33" i="110" a="1"/>
  <c r="F33" i="110" s="1"/>
  <c r="E33" i="110" a="1"/>
  <c r="E33" i="110" s="1"/>
  <c r="K21" i="110" s="1"/>
  <c r="D33" i="110" a="1"/>
  <c r="D33" i="110" s="1"/>
  <c r="G32" i="110" a="1"/>
  <c r="G32" i="110" s="1"/>
  <c r="F32" i="110" a="1"/>
  <c r="F32" i="110" s="1"/>
  <c r="E32" i="110" a="1"/>
  <c r="E32" i="110" s="1"/>
  <c r="K20" i="110" s="1"/>
  <c r="D32" i="110" a="1"/>
  <c r="D32" i="110" s="1"/>
  <c r="G31" i="110" a="1"/>
  <c r="G31" i="110" s="1"/>
  <c r="F31" i="110" a="1"/>
  <c r="F31" i="110" s="1"/>
  <c r="E31" i="110" a="1"/>
  <c r="E31" i="110" s="1"/>
  <c r="K19" i="110" s="1"/>
  <c r="D31" i="110" a="1"/>
  <c r="D31" i="110" s="1"/>
  <c r="G30" i="110" a="1"/>
  <c r="G30" i="110" s="1"/>
  <c r="F30" i="110" a="1"/>
  <c r="F30" i="110" s="1"/>
  <c r="E30" i="110" a="1"/>
  <c r="E30" i="110" s="1"/>
  <c r="K18" i="110" s="1"/>
  <c r="D30" i="110" a="1"/>
  <c r="D30" i="110" s="1"/>
  <c r="G29" i="110" a="1"/>
  <c r="G29" i="110" s="1"/>
  <c r="F29" i="110" a="1"/>
  <c r="F29" i="110" s="1"/>
  <c r="E29" i="110" a="1"/>
  <c r="E29" i="110" s="1"/>
  <c r="K17" i="110" s="1"/>
  <c r="D29" i="110" a="1"/>
  <c r="D29" i="110" s="1"/>
  <c r="G28" i="110" a="1"/>
  <c r="G28" i="110" s="1"/>
  <c r="F28" i="110" a="1"/>
  <c r="F28" i="110" s="1"/>
  <c r="E28" i="110" a="1"/>
  <c r="E28" i="110" s="1"/>
  <c r="D28" i="110" a="1"/>
  <c r="D28" i="110" s="1"/>
  <c r="G27" i="110" a="1"/>
  <c r="G27" i="110" s="1"/>
  <c r="F27" i="110" a="1"/>
  <c r="F27" i="110" s="1"/>
  <c r="E27" i="110" a="1"/>
  <c r="E27" i="110" s="1"/>
  <c r="I27" i="110" s="1"/>
  <c r="D27" i="110" a="1"/>
  <c r="D27" i="110" s="1"/>
  <c r="G26" i="110" a="1"/>
  <c r="G26" i="110" s="1"/>
  <c r="F26" i="110" a="1"/>
  <c r="F26" i="110" s="1"/>
  <c r="E26" i="110" a="1"/>
  <c r="E26" i="110" s="1"/>
  <c r="I26" i="110" s="1"/>
  <c r="D26" i="110" a="1"/>
  <c r="D26" i="110" s="1"/>
  <c r="G25" i="110" a="1"/>
  <c r="G25" i="110" s="1"/>
  <c r="F25" i="110" a="1"/>
  <c r="F25" i="110" s="1"/>
  <c r="E25" i="110" a="1"/>
  <c r="E25" i="110" s="1"/>
  <c r="I25" i="110" s="1"/>
  <c r="D25" i="110" a="1"/>
  <c r="D25" i="110" s="1"/>
  <c r="G24" i="110" a="1"/>
  <c r="G24" i="110" s="1"/>
  <c r="F24" i="110" a="1"/>
  <c r="F24" i="110" s="1"/>
  <c r="E24" i="110" a="1"/>
  <c r="E24" i="110" s="1"/>
  <c r="I24" i="110" s="1"/>
  <c r="D24" i="110" a="1"/>
  <c r="D24" i="110" s="1"/>
  <c r="G23" i="110" a="1"/>
  <c r="G23" i="110" s="1"/>
  <c r="F23" i="110" a="1"/>
  <c r="F23" i="110" s="1"/>
  <c r="E23" i="110" a="1"/>
  <c r="E23" i="110" s="1"/>
  <c r="I23" i="110" s="1"/>
  <c r="D23" i="110" a="1"/>
  <c r="D23" i="110" s="1"/>
  <c r="G22" i="110" a="1"/>
  <c r="G22" i="110" s="1"/>
  <c r="F22" i="110" a="1"/>
  <c r="F22" i="110" s="1"/>
  <c r="E22" i="110" a="1"/>
  <c r="E22" i="110" s="1"/>
  <c r="I22" i="110" s="1"/>
  <c r="D22" i="110" a="1"/>
  <c r="D22" i="110" s="1"/>
  <c r="G21" i="110" a="1"/>
  <c r="G21" i="110" s="1"/>
  <c r="F21" i="110" a="1"/>
  <c r="F21" i="110" s="1"/>
  <c r="E21" i="110" a="1"/>
  <c r="E21" i="110" s="1"/>
  <c r="I21" i="110" s="1"/>
  <c r="D21" i="110" a="1"/>
  <c r="D21" i="110" s="1"/>
  <c r="G20" i="110" a="1"/>
  <c r="G20" i="110" s="1"/>
  <c r="F20" i="110" a="1"/>
  <c r="F20" i="110" s="1"/>
  <c r="E20" i="110" a="1"/>
  <c r="E20" i="110" s="1"/>
  <c r="I20" i="110" s="1"/>
  <c r="D20" i="110" a="1"/>
  <c r="D20" i="110" s="1"/>
  <c r="G19" i="110" a="1"/>
  <c r="G19" i="110" s="1"/>
  <c r="F19" i="110" a="1"/>
  <c r="F19" i="110" s="1"/>
  <c r="E19" i="110" a="1"/>
  <c r="E19" i="110" s="1"/>
  <c r="I19" i="110" s="1"/>
  <c r="D19" i="110" a="1"/>
  <c r="D19" i="110" s="1"/>
  <c r="G18" i="110" a="1"/>
  <c r="G18" i="110" s="1"/>
  <c r="F18" i="110" a="1"/>
  <c r="F18" i="110" s="1"/>
  <c r="E18" i="110" a="1"/>
  <c r="E18" i="110" s="1"/>
  <c r="I18" i="110" s="1"/>
  <c r="D18" i="110" a="1"/>
  <c r="D18" i="110" s="1"/>
  <c r="G17" i="110" a="1"/>
  <c r="G17" i="110" s="1"/>
  <c r="F17" i="110" a="1"/>
  <c r="F17" i="110" s="1"/>
  <c r="E17" i="110" a="1"/>
  <c r="E17" i="110" s="1"/>
  <c r="D17" i="110" a="1"/>
  <c r="D17" i="110" s="1"/>
  <c r="D15" i="110" a="1"/>
  <c r="D15" i="110" s="1"/>
  <c r="D14" i="110" a="1"/>
  <c r="D14" i="110" s="1"/>
  <c r="D7" i="110" a="1"/>
  <c r="D7" i="110" s="1"/>
  <c r="D6" i="110" a="1"/>
  <c r="D6" i="110" s="1"/>
  <c r="D5" i="110" a="1"/>
  <c r="D5" i="110" s="1"/>
  <c r="H185" i="109"/>
  <c r="H179" i="109"/>
  <c r="H168" i="109"/>
  <c r="H144" i="109"/>
  <c r="H138" i="109"/>
  <c r="H127" i="109"/>
  <c r="H105" i="109" a="1"/>
  <c r="H105" i="109" s="1"/>
  <c r="D105" i="109" a="1"/>
  <c r="D105" i="109" s="1"/>
  <c r="E103" i="109" a="1"/>
  <c r="E103" i="109" s="1"/>
  <c r="E102" i="109" a="1"/>
  <c r="E102" i="109" s="1"/>
  <c r="D98" i="109" a="1"/>
  <c r="D98" i="109" s="1"/>
  <c r="D97" i="109" a="1"/>
  <c r="D97" i="109" s="1"/>
  <c r="D96" i="109" a="1"/>
  <c r="D96" i="109" s="1"/>
  <c r="J16" i="109" a="1"/>
  <c r="J16" i="109" s="1"/>
  <c r="I16" i="109" a="1"/>
  <c r="I16" i="109" s="1"/>
  <c r="J15" i="109" a="1"/>
  <c r="J15" i="109" s="1"/>
  <c r="I15" i="109" a="1"/>
  <c r="I15" i="109" s="1"/>
  <c r="J14" i="109" a="1"/>
  <c r="J14" i="109" s="1"/>
  <c r="I14" i="109" a="1"/>
  <c r="I14" i="109" s="1"/>
  <c r="J13" i="109" a="1"/>
  <c r="J13" i="109" s="1"/>
  <c r="I13" i="109" a="1"/>
  <c r="I13" i="109" s="1"/>
  <c r="G13" i="109" a="1"/>
  <c r="G13" i="109" s="1"/>
  <c r="D13" i="109" a="1"/>
  <c r="D13" i="109" s="1"/>
  <c r="E11" i="109" a="1"/>
  <c r="E11" i="109" s="1"/>
  <c r="E10" i="109" a="1"/>
  <c r="E10" i="109" s="1"/>
  <c r="D6" i="109" a="1"/>
  <c r="D6" i="109" s="1"/>
  <c r="D5" i="109" a="1"/>
  <c r="D5" i="109" s="1"/>
  <c r="AH223" i="107" a="1"/>
  <c r="AH223" i="107" s="1"/>
  <c r="AG223" i="107" a="1"/>
  <c r="AG223" i="107" s="1"/>
  <c r="AF223" i="107" a="1"/>
  <c r="AF223" i="107" s="1"/>
  <c r="AE223" i="107" a="1"/>
  <c r="AE223" i="107" s="1"/>
  <c r="AD223" i="107" a="1"/>
  <c r="AD223" i="107" s="1"/>
  <c r="AC223" i="107" a="1"/>
  <c r="AC223" i="107" s="1"/>
  <c r="AB223" i="107" a="1"/>
  <c r="AB223" i="107" s="1"/>
  <c r="AA223" i="107" a="1"/>
  <c r="AA223" i="107" s="1"/>
  <c r="Z223" i="107" a="1"/>
  <c r="Z223" i="107" s="1"/>
  <c r="Y223" i="107" a="1"/>
  <c r="Y223" i="107" s="1"/>
  <c r="X223" i="107" a="1"/>
  <c r="X223" i="107" s="1"/>
  <c r="W223" i="107" a="1"/>
  <c r="W223" i="107" s="1"/>
  <c r="V223" i="107" a="1"/>
  <c r="V223" i="107" s="1"/>
  <c r="U223" i="107" a="1"/>
  <c r="U223" i="107" s="1"/>
  <c r="T223" i="107" a="1"/>
  <c r="T223" i="107" s="1"/>
  <c r="S223" i="107" a="1"/>
  <c r="S223" i="107" s="1"/>
  <c r="R223" i="107" a="1"/>
  <c r="R223" i="107" s="1"/>
  <c r="Q223" i="107" a="1"/>
  <c r="Q223" i="107" s="1"/>
  <c r="P223" i="107" a="1"/>
  <c r="P223" i="107" s="1"/>
  <c r="O223" i="107" a="1"/>
  <c r="O223" i="107" s="1"/>
  <c r="N223" i="107" a="1"/>
  <c r="N223" i="107" s="1"/>
  <c r="M223" i="107" a="1"/>
  <c r="M223" i="107" s="1"/>
  <c r="L223" i="107" a="1"/>
  <c r="L223" i="107" s="1"/>
  <c r="K223" i="107" a="1"/>
  <c r="K223" i="107" s="1"/>
  <c r="J223" i="107" a="1"/>
  <c r="J223" i="107" s="1"/>
  <c r="I223" i="107" a="1"/>
  <c r="I223" i="107" s="1"/>
  <c r="H223" i="107" a="1"/>
  <c r="H223" i="107" s="1"/>
  <c r="G223" i="107" a="1"/>
  <c r="G223" i="107" s="1"/>
  <c r="F223" i="107" a="1"/>
  <c r="F223" i="107" s="1"/>
  <c r="E223" i="107" a="1"/>
  <c r="E223" i="107" s="1"/>
  <c r="D223" i="107" a="1"/>
  <c r="D223" i="107" s="1"/>
  <c r="AH222" i="107" a="1"/>
  <c r="AH222" i="107" s="1"/>
  <c r="AG222" i="107" a="1"/>
  <c r="AG222" i="107" s="1"/>
  <c r="AF222" i="107" a="1"/>
  <c r="AF222" i="107" s="1"/>
  <c r="AE222" i="107" a="1"/>
  <c r="AE222" i="107" s="1"/>
  <c r="AD222" i="107" a="1"/>
  <c r="AD222" i="107" s="1"/>
  <c r="AC222" i="107" a="1"/>
  <c r="AC222" i="107" s="1"/>
  <c r="AB222" i="107" a="1"/>
  <c r="AB222" i="107" s="1"/>
  <c r="AA222" i="107" a="1"/>
  <c r="AA222" i="107" s="1"/>
  <c r="Z222" i="107" a="1"/>
  <c r="Z222" i="107" s="1"/>
  <c r="Y222" i="107" a="1"/>
  <c r="Y222" i="107" s="1"/>
  <c r="X222" i="107" a="1"/>
  <c r="X222" i="107" s="1"/>
  <c r="W222" i="107" a="1"/>
  <c r="W222" i="107" s="1"/>
  <c r="V222" i="107" a="1"/>
  <c r="V222" i="107" s="1"/>
  <c r="U222" i="107" a="1"/>
  <c r="U222" i="107" s="1"/>
  <c r="T222" i="107" a="1"/>
  <c r="T222" i="107" s="1"/>
  <c r="S222" i="107" a="1"/>
  <c r="S222" i="107" s="1"/>
  <c r="R222" i="107" a="1"/>
  <c r="R222" i="107" s="1"/>
  <c r="Q222" i="107" a="1"/>
  <c r="Q222" i="107" s="1"/>
  <c r="P222" i="107" a="1"/>
  <c r="P222" i="107" s="1"/>
  <c r="O222" i="107" a="1"/>
  <c r="O222" i="107" s="1"/>
  <c r="N222" i="107" a="1"/>
  <c r="N222" i="107" s="1"/>
  <c r="M222" i="107" a="1"/>
  <c r="M222" i="107" s="1"/>
  <c r="L222" i="107" a="1"/>
  <c r="L222" i="107" s="1"/>
  <c r="K222" i="107" a="1"/>
  <c r="K222" i="107" s="1"/>
  <c r="J222" i="107" a="1"/>
  <c r="J222" i="107" s="1"/>
  <c r="I222" i="107" a="1"/>
  <c r="I222" i="107" s="1"/>
  <c r="H222" i="107" a="1"/>
  <c r="H222" i="107" s="1"/>
  <c r="G222" i="107" a="1"/>
  <c r="G222" i="107" s="1"/>
  <c r="F222" i="107" a="1"/>
  <c r="F222" i="107" s="1"/>
  <c r="E222" i="107" a="1"/>
  <c r="E222" i="107" s="1"/>
  <c r="D222" i="107" a="1"/>
  <c r="D222" i="107" s="1"/>
  <c r="AH221" i="107" a="1"/>
  <c r="AH221" i="107" s="1"/>
  <c r="AG221" i="107" a="1"/>
  <c r="AG221" i="107" s="1"/>
  <c r="AF221" i="107" a="1"/>
  <c r="AF221" i="107" s="1"/>
  <c r="AE221" i="107" a="1"/>
  <c r="AE221" i="107" s="1"/>
  <c r="AD221" i="107" a="1"/>
  <c r="AD221" i="107" s="1"/>
  <c r="AC221" i="107" a="1"/>
  <c r="AC221" i="107" s="1"/>
  <c r="AB221" i="107" a="1"/>
  <c r="AB221" i="107" s="1"/>
  <c r="AA221" i="107" a="1"/>
  <c r="AA221" i="107" s="1"/>
  <c r="Z221" i="107" a="1"/>
  <c r="Z221" i="107" s="1"/>
  <c r="Y221" i="107" a="1"/>
  <c r="Y221" i="107" s="1"/>
  <c r="X221" i="107" a="1"/>
  <c r="X221" i="107" s="1"/>
  <c r="W221" i="107" a="1"/>
  <c r="W221" i="107" s="1"/>
  <c r="V221" i="107" a="1"/>
  <c r="V221" i="107" s="1"/>
  <c r="U221" i="107" a="1"/>
  <c r="U221" i="107" s="1"/>
  <c r="T221" i="107" a="1"/>
  <c r="T221" i="107" s="1"/>
  <c r="S221" i="107" a="1"/>
  <c r="S221" i="107" s="1"/>
  <c r="R221" i="107" a="1"/>
  <c r="R221" i="107" s="1"/>
  <c r="Q221" i="107" a="1"/>
  <c r="Q221" i="107" s="1"/>
  <c r="P221" i="107" a="1"/>
  <c r="P221" i="107" s="1"/>
  <c r="O221" i="107" a="1"/>
  <c r="O221" i="107" s="1"/>
  <c r="N221" i="107" a="1"/>
  <c r="N221" i="107" s="1"/>
  <c r="M221" i="107" a="1"/>
  <c r="M221" i="107" s="1"/>
  <c r="L221" i="107" a="1"/>
  <c r="L221" i="107" s="1"/>
  <c r="K221" i="107" a="1"/>
  <c r="K221" i="107" s="1"/>
  <c r="J221" i="107" a="1"/>
  <c r="J221" i="107" s="1"/>
  <c r="I221" i="107" a="1"/>
  <c r="I221" i="107" s="1"/>
  <c r="H221" i="107" a="1"/>
  <c r="H221" i="107" s="1"/>
  <c r="G221" i="107" a="1"/>
  <c r="G221" i="107" s="1"/>
  <c r="F221" i="107" a="1"/>
  <c r="F221" i="107" s="1"/>
  <c r="E221" i="107" a="1"/>
  <c r="E221" i="107" s="1"/>
  <c r="D221" i="107" a="1"/>
  <c r="D221" i="107" s="1"/>
  <c r="AH220" i="107" a="1"/>
  <c r="AH220" i="107" s="1"/>
  <c r="AG220" i="107" a="1"/>
  <c r="AG220" i="107" s="1"/>
  <c r="AF220" i="107" a="1"/>
  <c r="AF220" i="107" s="1"/>
  <c r="AE220" i="107" a="1"/>
  <c r="AE220" i="107" s="1"/>
  <c r="AD220" i="107" a="1"/>
  <c r="AD220" i="107" s="1"/>
  <c r="AC220" i="107" a="1"/>
  <c r="AC220" i="107" s="1"/>
  <c r="AB220" i="107" a="1"/>
  <c r="AB220" i="107" s="1"/>
  <c r="AA220" i="107" a="1"/>
  <c r="AA220" i="107" s="1"/>
  <c r="Z220" i="107" a="1"/>
  <c r="Z220" i="107" s="1"/>
  <c r="Y220" i="107" a="1"/>
  <c r="Y220" i="107" s="1"/>
  <c r="X220" i="107" a="1"/>
  <c r="X220" i="107" s="1"/>
  <c r="W220" i="107" a="1"/>
  <c r="W220" i="107" s="1"/>
  <c r="V220" i="107" a="1"/>
  <c r="V220" i="107" s="1"/>
  <c r="U220" i="107" a="1"/>
  <c r="U220" i="107" s="1"/>
  <c r="T220" i="107" a="1"/>
  <c r="T220" i="107" s="1"/>
  <c r="S220" i="107" a="1"/>
  <c r="S220" i="107" s="1"/>
  <c r="R220" i="107" a="1"/>
  <c r="R220" i="107" s="1"/>
  <c r="Q220" i="107" a="1"/>
  <c r="Q220" i="107" s="1"/>
  <c r="P220" i="107" a="1"/>
  <c r="P220" i="107" s="1"/>
  <c r="O220" i="107" a="1"/>
  <c r="O220" i="107" s="1"/>
  <c r="N220" i="107" a="1"/>
  <c r="N220" i="107" s="1"/>
  <c r="M220" i="107" a="1"/>
  <c r="M220" i="107" s="1"/>
  <c r="L220" i="107" a="1"/>
  <c r="L220" i="107" s="1"/>
  <c r="K220" i="107" a="1"/>
  <c r="K220" i="107" s="1"/>
  <c r="J220" i="107" a="1"/>
  <c r="J220" i="107" s="1"/>
  <c r="I220" i="107" a="1"/>
  <c r="I220" i="107" s="1"/>
  <c r="H220" i="107" a="1"/>
  <c r="H220" i="107" s="1"/>
  <c r="G220" i="107" a="1"/>
  <c r="G220" i="107" s="1"/>
  <c r="F220" i="107" a="1"/>
  <c r="F220" i="107" s="1"/>
  <c r="E220" i="107" a="1"/>
  <c r="E220" i="107" s="1"/>
  <c r="D220" i="107" a="1"/>
  <c r="D220" i="107" s="1"/>
  <c r="AH219" i="107" a="1"/>
  <c r="AH219" i="107" s="1"/>
  <c r="AG219" i="107" a="1"/>
  <c r="AG219" i="107" s="1"/>
  <c r="AF219" i="107" a="1"/>
  <c r="AF219" i="107" s="1"/>
  <c r="AE219" i="107" a="1"/>
  <c r="AE219" i="107" s="1"/>
  <c r="AD219" i="107" a="1"/>
  <c r="AD219" i="107" s="1"/>
  <c r="AC219" i="107" a="1"/>
  <c r="AC219" i="107" s="1"/>
  <c r="AB219" i="107" a="1"/>
  <c r="AB219" i="107" s="1"/>
  <c r="AA219" i="107" a="1"/>
  <c r="AA219" i="107" s="1"/>
  <c r="Z219" i="107" a="1"/>
  <c r="Z219" i="107" s="1"/>
  <c r="Y219" i="107" a="1"/>
  <c r="Y219" i="107" s="1"/>
  <c r="X219" i="107" a="1"/>
  <c r="X219" i="107" s="1"/>
  <c r="W219" i="107" a="1"/>
  <c r="W219" i="107" s="1"/>
  <c r="V219" i="107" a="1"/>
  <c r="V219" i="107" s="1"/>
  <c r="U219" i="107" a="1"/>
  <c r="U219" i="107" s="1"/>
  <c r="T219" i="107" a="1"/>
  <c r="T219" i="107" s="1"/>
  <c r="S219" i="107" a="1"/>
  <c r="S219" i="107" s="1"/>
  <c r="R219" i="107" a="1"/>
  <c r="R219" i="107" s="1"/>
  <c r="Q219" i="107" a="1"/>
  <c r="Q219" i="107" s="1"/>
  <c r="P219" i="107" a="1"/>
  <c r="P219" i="107" s="1"/>
  <c r="O219" i="107" a="1"/>
  <c r="O219" i="107" s="1"/>
  <c r="N219" i="107" a="1"/>
  <c r="N219" i="107" s="1"/>
  <c r="M219" i="107" a="1"/>
  <c r="M219" i="107" s="1"/>
  <c r="L219" i="107" a="1"/>
  <c r="L219" i="107" s="1"/>
  <c r="K219" i="107" a="1"/>
  <c r="K219" i="107" s="1"/>
  <c r="J219" i="107" a="1"/>
  <c r="J219" i="107" s="1"/>
  <c r="I219" i="107" a="1"/>
  <c r="I219" i="107" s="1"/>
  <c r="H219" i="107" a="1"/>
  <c r="H219" i="107" s="1"/>
  <c r="G219" i="107" a="1"/>
  <c r="G219" i="107" s="1"/>
  <c r="F219" i="107" a="1"/>
  <c r="F219" i="107" s="1"/>
  <c r="E219" i="107" a="1"/>
  <c r="E219" i="107" s="1"/>
  <c r="D219" i="107" a="1"/>
  <c r="D219" i="107" s="1"/>
  <c r="AH218" i="107" a="1"/>
  <c r="AH218" i="107" s="1"/>
  <c r="AG218" i="107" a="1"/>
  <c r="AG218" i="107" s="1"/>
  <c r="AF218" i="107" a="1"/>
  <c r="AF218" i="107" s="1"/>
  <c r="AE218" i="107" a="1"/>
  <c r="AE218" i="107" s="1"/>
  <c r="AD218" i="107" a="1"/>
  <c r="AD218" i="107" s="1"/>
  <c r="AC218" i="107" a="1"/>
  <c r="AC218" i="107" s="1"/>
  <c r="AB218" i="107" a="1"/>
  <c r="AB218" i="107" s="1"/>
  <c r="AA218" i="107" a="1"/>
  <c r="AA218" i="107" s="1"/>
  <c r="Z218" i="107" a="1"/>
  <c r="Z218" i="107" s="1"/>
  <c r="Y218" i="107" a="1"/>
  <c r="Y218" i="107" s="1"/>
  <c r="X218" i="107" a="1"/>
  <c r="X218" i="107" s="1"/>
  <c r="W218" i="107" a="1"/>
  <c r="W218" i="107" s="1"/>
  <c r="V218" i="107" a="1"/>
  <c r="V218" i="107" s="1"/>
  <c r="U218" i="107" a="1"/>
  <c r="U218" i="107" s="1"/>
  <c r="T218" i="107" a="1"/>
  <c r="T218" i="107" s="1"/>
  <c r="S218" i="107" a="1"/>
  <c r="S218" i="107" s="1"/>
  <c r="R218" i="107" a="1"/>
  <c r="R218" i="107" s="1"/>
  <c r="Q218" i="107" a="1"/>
  <c r="Q218" i="107" s="1"/>
  <c r="P218" i="107" a="1"/>
  <c r="P218" i="107" s="1"/>
  <c r="O218" i="107" a="1"/>
  <c r="O218" i="107" s="1"/>
  <c r="N218" i="107" a="1"/>
  <c r="N218" i="107" s="1"/>
  <c r="M218" i="107" a="1"/>
  <c r="M218" i="107" s="1"/>
  <c r="L218" i="107" a="1"/>
  <c r="L218" i="107" s="1"/>
  <c r="K218" i="107" a="1"/>
  <c r="K218" i="107" s="1"/>
  <c r="J218" i="107" a="1"/>
  <c r="J218" i="107" s="1"/>
  <c r="I218" i="107" a="1"/>
  <c r="I218" i="107" s="1"/>
  <c r="H218" i="107" a="1"/>
  <c r="H218" i="107" s="1"/>
  <c r="G218" i="107" a="1"/>
  <c r="G218" i="107" s="1"/>
  <c r="F218" i="107" a="1"/>
  <c r="F218" i="107" s="1"/>
  <c r="E218" i="107" a="1"/>
  <c r="E218" i="107" s="1"/>
  <c r="D218" i="107" a="1"/>
  <c r="D218" i="107" s="1"/>
  <c r="AH217" i="107" a="1"/>
  <c r="AH217" i="107" s="1"/>
  <c r="AG217" i="107" a="1"/>
  <c r="AG217" i="107" s="1"/>
  <c r="AF217" i="107" a="1"/>
  <c r="AF217" i="107" s="1"/>
  <c r="AE217" i="107" a="1"/>
  <c r="AE217" i="107" s="1"/>
  <c r="AD217" i="107" a="1"/>
  <c r="AD217" i="107" s="1"/>
  <c r="AC217" i="107" a="1"/>
  <c r="AC217" i="107" s="1"/>
  <c r="AB217" i="107" a="1"/>
  <c r="AB217" i="107" s="1"/>
  <c r="AA217" i="107" a="1"/>
  <c r="AA217" i="107" s="1"/>
  <c r="Z217" i="107" a="1"/>
  <c r="Z217" i="107" s="1"/>
  <c r="Y217" i="107" a="1"/>
  <c r="Y217" i="107" s="1"/>
  <c r="X217" i="107" a="1"/>
  <c r="X217" i="107" s="1"/>
  <c r="W217" i="107" a="1"/>
  <c r="W217" i="107" s="1"/>
  <c r="V217" i="107" a="1"/>
  <c r="V217" i="107" s="1"/>
  <c r="U217" i="107" a="1"/>
  <c r="U217" i="107" s="1"/>
  <c r="T217" i="107" a="1"/>
  <c r="T217" i="107" s="1"/>
  <c r="S217" i="107" a="1"/>
  <c r="S217" i="107" s="1"/>
  <c r="R217" i="107" a="1"/>
  <c r="R217" i="107" s="1"/>
  <c r="Q217" i="107" a="1"/>
  <c r="Q217" i="107" s="1"/>
  <c r="P217" i="107" a="1"/>
  <c r="P217" i="107" s="1"/>
  <c r="O217" i="107" a="1"/>
  <c r="O217" i="107" s="1"/>
  <c r="N217" i="107" a="1"/>
  <c r="N217" i="107" s="1"/>
  <c r="M217" i="107" a="1"/>
  <c r="M217" i="107" s="1"/>
  <c r="L217" i="107" a="1"/>
  <c r="L217" i="107" s="1"/>
  <c r="K217" i="107" a="1"/>
  <c r="K217" i="107" s="1"/>
  <c r="J217" i="107" a="1"/>
  <c r="J217" i="107" s="1"/>
  <c r="I217" i="107" a="1"/>
  <c r="I217" i="107" s="1"/>
  <c r="H217" i="107" a="1"/>
  <c r="H217" i="107" s="1"/>
  <c r="G217" i="107" a="1"/>
  <c r="G217" i="107" s="1"/>
  <c r="F217" i="107" a="1"/>
  <c r="F217" i="107" s="1"/>
  <c r="E217" i="107" a="1"/>
  <c r="E217" i="107" s="1"/>
  <c r="D217" i="107" a="1"/>
  <c r="D217" i="107" s="1"/>
  <c r="AH216" i="107" a="1"/>
  <c r="AH216" i="107" s="1"/>
  <c r="AG216" i="107" a="1"/>
  <c r="AG216" i="107" s="1"/>
  <c r="AF216" i="107" a="1"/>
  <c r="AF216" i="107" s="1"/>
  <c r="AE216" i="107" a="1"/>
  <c r="AE216" i="107" s="1"/>
  <c r="AD216" i="107" a="1"/>
  <c r="AD216" i="107" s="1"/>
  <c r="AC216" i="107" a="1"/>
  <c r="AC216" i="107" s="1"/>
  <c r="AB216" i="107" a="1"/>
  <c r="AB216" i="107" s="1"/>
  <c r="AA216" i="107" a="1"/>
  <c r="AA216" i="107" s="1"/>
  <c r="Z216" i="107" a="1"/>
  <c r="Z216" i="107" s="1"/>
  <c r="Y216" i="107" a="1"/>
  <c r="Y216" i="107" s="1"/>
  <c r="X216" i="107" a="1"/>
  <c r="X216" i="107" s="1"/>
  <c r="W216" i="107" a="1"/>
  <c r="W216" i="107" s="1"/>
  <c r="V216" i="107" a="1"/>
  <c r="V216" i="107" s="1"/>
  <c r="U216" i="107" a="1"/>
  <c r="U216" i="107" s="1"/>
  <c r="T216" i="107" a="1"/>
  <c r="T216" i="107" s="1"/>
  <c r="S216" i="107" a="1"/>
  <c r="S216" i="107" s="1"/>
  <c r="R216" i="107" a="1"/>
  <c r="R216" i="107" s="1"/>
  <c r="Q216" i="107" a="1"/>
  <c r="Q216" i="107" s="1"/>
  <c r="P216" i="107" a="1"/>
  <c r="P216" i="107" s="1"/>
  <c r="O216" i="107" a="1"/>
  <c r="O216" i="107" s="1"/>
  <c r="N216" i="107" a="1"/>
  <c r="N216" i="107" s="1"/>
  <c r="M216" i="107" a="1"/>
  <c r="M216" i="107" s="1"/>
  <c r="L216" i="107" a="1"/>
  <c r="L216" i="107" s="1"/>
  <c r="K216" i="107" a="1"/>
  <c r="K216" i="107" s="1"/>
  <c r="J216" i="107" a="1"/>
  <c r="J216" i="107" s="1"/>
  <c r="I216" i="107" a="1"/>
  <c r="I216" i="107" s="1"/>
  <c r="H216" i="107" a="1"/>
  <c r="H216" i="107" s="1"/>
  <c r="G216" i="107" a="1"/>
  <c r="G216" i="107" s="1"/>
  <c r="F216" i="107" a="1"/>
  <c r="F216" i="107" s="1"/>
  <c r="E216" i="107" a="1"/>
  <c r="E216" i="107" s="1"/>
  <c r="D216" i="107" a="1"/>
  <c r="D216" i="107" s="1"/>
  <c r="AH215" i="107" a="1"/>
  <c r="AH215" i="107" s="1"/>
  <c r="AG215" i="107" a="1"/>
  <c r="AG215" i="107" s="1"/>
  <c r="AF215" i="107" a="1"/>
  <c r="AF215" i="107" s="1"/>
  <c r="AE215" i="107" a="1"/>
  <c r="AE215" i="107" s="1"/>
  <c r="AD215" i="107" a="1"/>
  <c r="AD215" i="107" s="1"/>
  <c r="AC215" i="107" a="1"/>
  <c r="AC215" i="107" s="1"/>
  <c r="AB215" i="107" a="1"/>
  <c r="AB215" i="107" s="1"/>
  <c r="AA215" i="107" a="1"/>
  <c r="AA215" i="107" s="1"/>
  <c r="Z215" i="107" a="1"/>
  <c r="Z215" i="107" s="1"/>
  <c r="Y215" i="107" a="1"/>
  <c r="Y215" i="107" s="1"/>
  <c r="X215" i="107" a="1"/>
  <c r="X215" i="107" s="1"/>
  <c r="W215" i="107" a="1"/>
  <c r="W215" i="107" s="1"/>
  <c r="V215" i="107" a="1"/>
  <c r="V215" i="107" s="1"/>
  <c r="U215" i="107" a="1"/>
  <c r="U215" i="107" s="1"/>
  <c r="T215" i="107" a="1"/>
  <c r="T215" i="107" s="1"/>
  <c r="S215" i="107" a="1"/>
  <c r="S215" i="107" s="1"/>
  <c r="R215" i="107" a="1"/>
  <c r="R215" i="107" s="1"/>
  <c r="Q215" i="107" a="1"/>
  <c r="Q215" i="107" s="1"/>
  <c r="P215" i="107" a="1"/>
  <c r="P215" i="107" s="1"/>
  <c r="O215" i="107" a="1"/>
  <c r="O215" i="107" s="1"/>
  <c r="N215" i="107" a="1"/>
  <c r="N215" i="107" s="1"/>
  <c r="M215" i="107" a="1"/>
  <c r="M215" i="107" s="1"/>
  <c r="L215" i="107" a="1"/>
  <c r="L215" i="107" s="1"/>
  <c r="K215" i="107" a="1"/>
  <c r="K215" i="107" s="1"/>
  <c r="J215" i="107" a="1"/>
  <c r="J215" i="107" s="1"/>
  <c r="I215" i="107" a="1"/>
  <c r="I215" i="107" s="1"/>
  <c r="H215" i="107" a="1"/>
  <c r="H215" i="107" s="1"/>
  <c r="G215" i="107" a="1"/>
  <c r="G215" i="107" s="1"/>
  <c r="F215" i="107" a="1"/>
  <c r="F215" i="107" s="1"/>
  <c r="E215" i="107" a="1"/>
  <c r="E215" i="107" s="1"/>
  <c r="D215" i="107" a="1"/>
  <c r="D215" i="107" s="1"/>
  <c r="AH214" i="107" a="1"/>
  <c r="AH214" i="107" s="1"/>
  <c r="AG214" i="107" a="1"/>
  <c r="AG214" i="107" s="1"/>
  <c r="AF214" i="107" a="1"/>
  <c r="AF214" i="107" s="1"/>
  <c r="AE214" i="107" a="1"/>
  <c r="AE214" i="107" s="1"/>
  <c r="AD214" i="107" a="1"/>
  <c r="AD214" i="107" s="1"/>
  <c r="AC214" i="107" a="1"/>
  <c r="AC214" i="107" s="1"/>
  <c r="AB214" i="107" a="1"/>
  <c r="AB214" i="107" s="1"/>
  <c r="AA214" i="107" a="1"/>
  <c r="AA214" i="107" s="1"/>
  <c r="Z214" i="107" a="1"/>
  <c r="Z214" i="107" s="1"/>
  <c r="Y214" i="107" a="1"/>
  <c r="Y214" i="107" s="1"/>
  <c r="X214" i="107" a="1"/>
  <c r="X214" i="107" s="1"/>
  <c r="W214" i="107" a="1"/>
  <c r="W214" i="107" s="1"/>
  <c r="V214" i="107" a="1"/>
  <c r="V214" i="107" s="1"/>
  <c r="U214" i="107" a="1"/>
  <c r="U214" i="107" s="1"/>
  <c r="T214" i="107" a="1"/>
  <c r="T214" i="107" s="1"/>
  <c r="S214" i="107" a="1"/>
  <c r="S214" i="107" s="1"/>
  <c r="R214" i="107" a="1"/>
  <c r="R214" i="107" s="1"/>
  <c r="Q214" i="107" a="1"/>
  <c r="Q214" i="107" s="1"/>
  <c r="P214" i="107" a="1"/>
  <c r="P214" i="107" s="1"/>
  <c r="O214" i="107" a="1"/>
  <c r="O214" i="107" s="1"/>
  <c r="N214" i="107" a="1"/>
  <c r="N214" i="107" s="1"/>
  <c r="M214" i="107" a="1"/>
  <c r="M214" i="107" s="1"/>
  <c r="L214" i="107" a="1"/>
  <c r="L214" i="107" s="1"/>
  <c r="K214" i="107" a="1"/>
  <c r="K214" i="107" s="1"/>
  <c r="J214" i="107" a="1"/>
  <c r="J214" i="107" s="1"/>
  <c r="I214" i="107" a="1"/>
  <c r="I214" i="107" s="1"/>
  <c r="H214" i="107" a="1"/>
  <c r="H214" i="107" s="1"/>
  <c r="G214" i="107" a="1"/>
  <c r="G214" i="107" s="1"/>
  <c r="F214" i="107" a="1"/>
  <c r="F214" i="107" s="1"/>
  <c r="E214" i="107" a="1"/>
  <c r="E214" i="107" s="1"/>
  <c r="D214" i="107" a="1"/>
  <c r="D214" i="107" s="1"/>
  <c r="AH213" i="107" a="1"/>
  <c r="AH213" i="107" s="1"/>
  <c r="AG213" i="107" a="1"/>
  <c r="AG213" i="107" s="1"/>
  <c r="AF213" i="107" a="1"/>
  <c r="AF213" i="107" s="1"/>
  <c r="AE213" i="107" a="1"/>
  <c r="AE213" i="107" s="1"/>
  <c r="AD213" i="107" a="1"/>
  <c r="AD213" i="107" s="1"/>
  <c r="AC213" i="107" a="1"/>
  <c r="AC213" i="107" s="1"/>
  <c r="AB213" i="107" a="1"/>
  <c r="AB213" i="107" s="1"/>
  <c r="AA213" i="107" a="1"/>
  <c r="AA213" i="107" s="1"/>
  <c r="Z213" i="107" a="1"/>
  <c r="Z213" i="107" s="1"/>
  <c r="Y213" i="107" a="1"/>
  <c r="Y213" i="107" s="1"/>
  <c r="X213" i="107" a="1"/>
  <c r="X213" i="107" s="1"/>
  <c r="W213" i="107" a="1"/>
  <c r="W213" i="107" s="1"/>
  <c r="V213" i="107" a="1"/>
  <c r="V213" i="107" s="1"/>
  <c r="U213" i="107" a="1"/>
  <c r="U213" i="107" s="1"/>
  <c r="T213" i="107" a="1"/>
  <c r="T213" i="107" s="1"/>
  <c r="S213" i="107" a="1"/>
  <c r="S213" i="107" s="1"/>
  <c r="R213" i="107" a="1"/>
  <c r="R213" i="107" s="1"/>
  <c r="Q213" i="107" a="1"/>
  <c r="Q213" i="107" s="1"/>
  <c r="P213" i="107" a="1"/>
  <c r="P213" i="107" s="1"/>
  <c r="O213" i="107" a="1"/>
  <c r="O213" i="107" s="1"/>
  <c r="N213" i="107" a="1"/>
  <c r="N213" i="107" s="1"/>
  <c r="M213" i="107" a="1"/>
  <c r="M213" i="107" s="1"/>
  <c r="L213" i="107" a="1"/>
  <c r="L213" i="107" s="1"/>
  <c r="K213" i="107" a="1"/>
  <c r="K213" i="107" s="1"/>
  <c r="J213" i="107" a="1"/>
  <c r="J213" i="107" s="1"/>
  <c r="I213" i="107" a="1"/>
  <c r="I213" i="107" s="1"/>
  <c r="H213" i="107" a="1"/>
  <c r="H213" i="107" s="1"/>
  <c r="G213" i="107" a="1"/>
  <c r="G213" i="107" s="1"/>
  <c r="F213" i="107" a="1"/>
  <c r="F213" i="107" s="1"/>
  <c r="E213" i="107" a="1"/>
  <c r="E213" i="107" s="1"/>
  <c r="D213" i="107" a="1"/>
  <c r="D213" i="107" s="1"/>
  <c r="AH212" i="107" a="1"/>
  <c r="AH212" i="107" s="1"/>
  <c r="AG212" i="107" a="1"/>
  <c r="AG212" i="107" s="1"/>
  <c r="AF212" i="107" a="1"/>
  <c r="AF212" i="107" s="1"/>
  <c r="AE212" i="107" a="1"/>
  <c r="AE212" i="107" s="1"/>
  <c r="AD212" i="107" a="1"/>
  <c r="AD212" i="107" s="1"/>
  <c r="AC212" i="107" a="1"/>
  <c r="AC212" i="107" s="1"/>
  <c r="AB212" i="107" a="1"/>
  <c r="AB212" i="107" s="1"/>
  <c r="AA212" i="107" a="1"/>
  <c r="AA212" i="107" s="1"/>
  <c r="Z212" i="107" a="1"/>
  <c r="Z212" i="107" s="1"/>
  <c r="Y212" i="107" a="1"/>
  <c r="Y212" i="107" s="1"/>
  <c r="X212" i="107" a="1"/>
  <c r="X212" i="107" s="1"/>
  <c r="W212" i="107" a="1"/>
  <c r="W212" i="107" s="1"/>
  <c r="V212" i="107" a="1"/>
  <c r="V212" i="107" s="1"/>
  <c r="U212" i="107" a="1"/>
  <c r="U212" i="107" s="1"/>
  <c r="T212" i="107" a="1"/>
  <c r="T212" i="107" s="1"/>
  <c r="S212" i="107" a="1"/>
  <c r="S212" i="107" s="1"/>
  <c r="R212" i="107" a="1"/>
  <c r="R212" i="107" s="1"/>
  <c r="Q212" i="107" a="1"/>
  <c r="Q212" i="107" s="1"/>
  <c r="P212" i="107" a="1"/>
  <c r="P212" i="107" s="1"/>
  <c r="O212" i="107" a="1"/>
  <c r="O212" i="107" s="1"/>
  <c r="N212" i="107" a="1"/>
  <c r="N212" i="107" s="1"/>
  <c r="M212" i="107" a="1"/>
  <c r="M212" i="107" s="1"/>
  <c r="L212" i="107" a="1"/>
  <c r="L212" i="107" s="1"/>
  <c r="K212" i="107" a="1"/>
  <c r="K212" i="107" s="1"/>
  <c r="J212" i="107" a="1"/>
  <c r="J212" i="107" s="1"/>
  <c r="I212" i="107" a="1"/>
  <c r="I212" i="107" s="1"/>
  <c r="H212" i="107" a="1"/>
  <c r="H212" i="107" s="1"/>
  <c r="G212" i="107" a="1"/>
  <c r="G212" i="107" s="1"/>
  <c r="F212" i="107" a="1"/>
  <c r="F212" i="107" s="1"/>
  <c r="E212" i="107" a="1"/>
  <c r="E212" i="107" s="1"/>
  <c r="D212" i="107" a="1"/>
  <c r="D212" i="107" s="1"/>
  <c r="AH211" i="107" a="1"/>
  <c r="AH211" i="107" s="1"/>
  <c r="AG211" i="107" a="1"/>
  <c r="AG211" i="107" s="1"/>
  <c r="AF211" i="107" a="1"/>
  <c r="AF211" i="107" s="1"/>
  <c r="AE211" i="107" a="1"/>
  <c r="AE211" i="107" s="1"/>
  <c r="AD211" i="107" a="1"/>
  <c r="AD211" i="107" s="1"/>
  <c r="AC211" i="107" a="1"/>
  <c r="AC211" i="107" s="1"/>
  <c r="AB211" i="107" a="1"/>
  <c r="AB211" i="107" s="1"/>
  <c r="AA211" i="107" a="1"/>
  <c r="AA211" i="107" s="1"/>
  <c r="Z211" i="107" a="1"/>
  <c r="Z211" i="107" s="1"/>
  <c r="Y211" i="107" a="1"/>
  <c r="Y211" i="107" s="1"/>
  <c r="X211" i="107" a="1"/>
  <c r="X211" i="107" s="1"/>
  <c r="W211" i="107" a="1"/>
  <c r="W211" i="107" s="1"/>
  <c r="V211" i="107" a="1"/>
  <c r="V211" i="107" s="1"/>
  <c r="U211" i="107" a="1"/>
  <c r="U211" i="107" s="1"/>
  <c r="T211" i="107" a="1"/>
  <c r="T211" i="107" s="1"/>
  <c r="S211" i="107" a="1"/>
  <c r="S211" i="107" s="1"/>
  <c r="R211" i="107" a="1"/>
  <c r="R211" i="107" s="1"/>
  <c r="Q211" i="107" a="1"/>
  <c r="Q211" i="107" s="1"/>
  <c r="P211" i="107" a="1"/>
  <c r="P211" i="107" s="1"/>
  <c r="O211" i="107" a="1"/>
  <c r="O211" i="107" s="1"/>
  <c r="N211" i="107" a="1"/>
  <c r="N211" i="107" s="1"/>
  <c r="M211" i="107" a="1"/>
  <c r="M211" i="107" s="1"/>
  <c r="L211" i="107" a="1"/>
  <c r="L211" i="107" s="1"/>
  <c r="K211" i="107" a="1"/>
  <c r="K211" i="107" s="1"/>
  <c r="J211" i="107" a="1"/>
  <c r="J211" i="107" s="1"/>
  <c r="I211" i="107" a="1"/>
  <c r="I211" i="107" s="1"/>
  <c r="H211" i="107" a="1"/>
  <c r="H211" i="107" s="1"/>
  <c r="G211" i="107" a="1"/>
  <c r="G211" i="107" s="1"/>
  <c r="F211" i="107" a="1"/>
  <c r="F211" i="107" s="1"/>
  <c r="E211" i="107" a="1"/>
  <c r="E211" i="107" s="1"/>
  <c r="D211" i="107" a="1"/>
  <c r="D211" i="107" s="1"/>
  <c r="AH210" i="107" a="1"/>
  <c r="AH210" i="107" s="1"/>
  <c r="AG210" i="107" a="1"/>
  <c r="AG210" i="107" s="1"/>
  <c r="AF210" i="107" a="1"/>
  <c r="AF210" i="107" s="1"/>
  <c r="AE210" i="107" a="1"/>
  <c r="AE210" i="107" s="1"/>
  <c r="AD210" i="107" a="1"/>
  <c r="AD210" i="107" s="1"/>
  <c r="AC210" i="107" a="1"/>
  <c r="AC210" i="107" s="1"/>
  <c r="AB210" i="107" a="1"/>
  <c r="AB210" i="107" s="1"/>
  <c r="AA210" i="107" a="1"/>
  <c r="AA210" i="107" s="1"/>
  <c r="Z210" i="107" a="1"/>
  <c r="Z210" i="107" s="1"/>
  <c r="Y210" i="107" a="1"/>
  <c r="Y210" i="107" s="1"/>
  <c r="X210" i="107" a="1"/>
  <c r="X210" i="107" s="1"/>
  <c r="W210" i="107" a="1"/>
  <c r="W210" i="107" s="1"/>
  <c r="V210" i="107" a="1"/>
  <c r="V210" i="107" s="1"/>
  <c r="U210" i="107" a="1"/>
  <c r="U210" i="107" s="1"/>
  <c r="T210" i="107" a="1"/>
  <c r="T210" i="107" s="1"/>
  <c r="S210" i="107" a="1"/>
  <c r="S210" i="107" s="1"/>
  <c r="R210" i="107" a="1"/>
  <c r="R210" i="107" s="1"/>
  <c r="Q210" i="107" a="1"/>
  <c r="Q210" i="107" s="1"/>
  <c r="P210" i="107" a="1"/>
  <c r="P210" i="107" s="1"/>
  <c r="O210" i="107" a="1"/>
  <c r="O210" i="107" s="1"/>
  <c r="N210" i="107" a="1"/>
  <c r="N210" i="107" s="1"/>
  <c r="M210" i="107" a="1"/>
  <c r="M210" i="107" s="1"/>
  <c r="L210" i="107" a="1"/>
  <c r="L210" i="107" s="1"/>
  <c r="K210" i="107" a="1"/>
  <c r="K210" i="107" s="1"/>
  <c r="J210" i="107" a="1"/>
  <c r="J210" i="107" s="1"/>
  <c r="I210" i="107" a="1"/>
  <c r="I210" i="107" s="1"/>
  <c r="H210" i="107" a="1"/>
  <c r="H210" i="107" s="1"/>
  <c r="G210" i="107" a="1"/>
  <c r="G210" i="107" s="1"/>
  <c r="F210" i="107" a="1"/>
  <c r="F210" i="107" s="1"/>
  <c r="E210" i="107" a="1"/>
  <c r="E210" i="107" s="1"/>
  <c r="D210" i="107" a="1"/>
  <c r="D210" i="107" s="1"/>
  <c r="AH209" i="107" a="1"/>
  <c r="AH209" i="107" s="1"/>
  <c r="AG209" i="107" a="1"/>
  <c r="AG209" i="107" s="1"/>
  <c r="AF209" i="107" a="1"/>
  <c r="AF209" i="107" s="1"/>
  <c r="AE209" i="107" a="1"/>
  <c r="AE209" i="107" s="1"/>
  <c r="AD209" i="107" a="1"/>
  <c r="AD209" i="107" s="1"/>
  <c r="AC209" i="107" a="1"/>
  <c r="AC209" i="107" s="1"/>
  <c r="AB209" i="107" a="1"/>
  <c r="AB209" i="107" s="1"/>
  <c r="AA209" i="107" a="1"/>
  <c r="AA209" i="107" s="1"/>
  <c r="Z209" i="107" a="1"/>
  <c r="Z209" i="107" s="1"/>
  <c r="Y209" i="107" a="1"/>
  <c r="Y209" i="107" s="1"/>
  <c r="X209" i="107" a="1"/>
  <c r="X209" i="107" s="1"/>
  <c r="W209" i="107" a="1"/>
  <c r="W209" i="107" s="1"/>
  <c r="V209" i="107" a="1"/>
  <c r="V209" i="107" s="1"/>
  <c r="U209" i="107" a="1"/>
  <c r="U209" i="107" s="1"/>
  <c r="T209" i="107" a="1"/>
  <c r="T209" i="107" s="1"/>
  <c r="S209" i="107" a="1"/>
  <c r="S209" i="107" s="1"/>
  <c r="R209" i="107" a="1"/>
  <c r="R209" i="107" s="1"/>
  <c r="Q209" i="107" a="1"/>
  <c r="Q209" i="107" s="1"/>
  <c r="P209" i="107" a="1"/>
  <c r="P209" i="107" s="1"/>
  <c r="O209" i="107" a="1"/>
  <c r="O209" i="107" s="1"/>
  <c r="N209" i="107" a="1"/>
  <c r="N209" i="107" s="1"/>
  <c r="M209" i="107" a="1"/>
  <c r="M209" i="107" s="1"/>
  <c r="L209" i="107" a="1"/>
  <c r="L209" i="107" s="1"/>
  <c r="K209" i="107" a="1"/>
  <c r="K209" i="107" s="1"/>
  <c r="J209" i="107" a="1"/>
  <c r="J209" i="107" s="1"/>
  <c r="I209" i="107" a="1"/>
  <c r="I209" i="107" s="1"/>
  <c r="H209" i="107" a="1"/>
  <c r="H209" i="107" s="1"/>
  <c r="G209" i="107" a="1"/>
  <c r="G209" i="107" s="1"/>
  <c r="F209" i="107" a="1"/>
  <c r="F209" i="107" s="1"/>
  <c r="E209" i="107" a="1"/>
  <c r="E209" i="107" s="1"/>
  <c r="D209" i="107" a="1"/>
  <c r="D209" i="107" s="1"/>
  <c r="AH208" i="107" a="1"/>
  <c r="AH208" i="107" s="1"/>
  <c r="AG208" i="107" a="1"/>
  <c r="AG208" i="107" s="1"/>
  <c r="AF208" i="107" a="1"/>
  <c r="AF208" i="107" s="1"/>
  <c r="AE208" i="107" a="1"/>
  <c r="AE208" i="107" s="1"/>
  <c r="AD208" i="107" a="1"/>
  <c r="AD208" i="107" s="1"/>
  <c r="AC208" i="107" a="1"/>
  <c r="AC208" i="107" s="1"/>
  <c r="AB208" i="107" a="1"/>
  <c r="AB208" i="107" s="1"/>
  <c r="AA208" i="107" a="1"/>
  <c r="AA208" i="107" s="1"/>
  <c r="Z208" i="107" a="1"/>
  <c r="Z208" i="107" s="1"/>
  <c r="Y208" i="107" a="1"/>
  <c r="Y208" i="107" s="1"/>
  <c r="X208" i="107" a="1"/>
  <c r="X208" i="107" s="1"/>
  <c r="W208" i="107" a="1"/>
  <c r="W208" i="107" s="1"/>
  <c r="V208" i="107" a="1"/>
  <c r="V208" i="107" s="1"/>
  <c r="U208" i="107" a="1"/>
  <c r="U208" i="107" s="1"/>
  <c r="T208" i="107" a="1"/>
  <c r="T208" i="107" s="1"/>
  <c r="S208" i="107" a="1"/>
  <c r="S208" i="107" s="1"/>
  <c r="R208" i="107" a="1"/>
  <c r="R208" i="107" s="1"/>
  <c r="Q208" i="107" a="1"/>
  <c r="Q208" i="107" s="1"/>
  <c r="P208" i="107" a="1"/>
  <c r="P208" i="107" s="1"/>
  <c r="O208" i="107" a="1"/>
  <c r="O208" i="107" s="1"/>
  <c r="N208" i="107" a="1"/>
  <c r="N208" i="107" s="1"/>
  <c r="M208" i="107" a="1"/>
  <c r="M208" i="107" s="1"/>
  <c r="L208" i="107" a="1"/>
  <c r="L208" i="107" s="1"/>
  <c r="K208" i="107" a="1"/>
  <c r="K208" i="107" s="1"/>
  <c r="J208" i="107" a="1"/>
  <c r="J208" i="107" s="1"/>
  <c r="I208" i="107" a="1"/>
  <c r="I208" i="107" s="1"/>
  <c r="H208" i="107" a="1"/>
  <c r="H208" i="107" s="1"/>
  <c r="G208" i="107" a="1"/>
  <c r="G208" i="107" s="1"/>
  <c r="F208" i="107" a="1"/>
  <c r="F208" i="107" s="1"/>
  <c r="E208" i="107" a="1"/>
  <c r="E208" i="107" s="1"/>
  <c r="D208" i="107" a="1"/>
  <c r="D208" i="107" s="1"/>
  <c r="AH207" i="107" a="1"/>
  <c r="AH207" i="107" s="1"/>
  <c r="AG207" i="107" a="1"/>
  <c r="AG207" i="107" s="1"/>
  <c r="AF207" i="107" a="1"/>
  <c r="AF207" i="107" s="1"/>
  <c r="AE207" i="107" a="1"/>
  <c r="AE207" i="107" s="1"/>
  <c r="AD207" i="107" a="1"/>
  <c r="AD207" i="107" s="1"/>
  <c r="AC207" i="107" a="1"/>
  <c r="AC207" i="107" s="1"/>
  <c r="AB207" i="107" a="1"/>
  <c r="AB207" i="107" s="1"/>
  <c r="AA207" i="107" a="1"/>
  <c r="AA207" i="107" s="1"/>
  <c r="Z207" i="107" a="1"/>
  <c r="Z207" i="107" s="1"/>
  <c r="Y207" i="107" a="1"/>
  <c r="Y207" i="107" s="1"/>
  <c r="X207" i="107" a="1"/>
  <c r="X207" i="107" s="1"/>
  <c r="W207" i="107" a="1"/>
  <c r="W207" i="107" s="1"/>
  <c r="V207" i="107" a="1"/>
  <c r="V207" i="107" s="1"/>
  <c r="U207" i="107" a="1"/>
  <c r="U207" i="107" s="1"/>
  <c r="T207" i="107" a="1"/>
  <c r="T207" i="107" s="1"/>
  <c r="S207" i="107" a="1"/>
  <c r="S207" i="107" s="1"/>
  <c r="R207" i="107" a="1"/>
  <c r="R207" i="107" s="1"/>
  <c r="Q207" i="107" a="1"/>
  <c r="Q207" i="107" s="1"/>
  <c r="P207" i="107" a="1"/>
  <c r="P207" i="107" s="1"/>
  <c r="O207" i="107" a="1"/>
  <c r="O207" i="107" s="1"/>
  <c r="N207" i="107" a="1"/>
  <c r="N207" i="107" s="1"/>
  <c r="M207" i="107" a="1"/>
  <c r="M207" i="107" s="1"/>
  <c r="L207" i="107" a="1"/>
  <c r="L207" i="107" s="1"/>
  <c r="K207" i="107" a="1"/>
  <c r="K207" i="107" s="1"/>
  <c r="J207" i="107" a="1"/>
  <c r="J207" i="107" s="1"/>
  <c r="I207" i="107" a="1"/>
  <c r="I207" i="107" s="1"/>
  <c r="H207" i="107" a="1"/>
  <c r="H207" i="107" s="1"/>
  <c r="G207" i="107" a="1"/>
  <c r="G207" i="107" s="1"/>
  <c r="F207" i="107" a="1"/>
  <c r="F207" i="107" s="1"/>
  <c r="E207" i="107" a="1"/>
  <c r="E207" i="107" s="1"/>
  <c r="D207" i="107" a="1"/>
  <c r="D207" i="107" s="1"/>
  <c r="AH206" i="107" a="1"/>
  <c r="AH206" i="107" s="1"/>
  <c r="AG206" i="107" a="1"/>
  <c r="AG206" i="107" s="1"/>
  <c r="AF206" i="107" a="1"/>
  <c r="AF206" i="107" s="1"/>
  <c r="AE206" i="107" a="1"/>
  <c r="AE206" i="107" s="1"/>
  <c r="AD206" i="107" a="1"/>
  <c r="AD206" i="107" s="1"/>
  <c r="AC206" i="107" a="1"/>
  <c r="AC206" i="107" s="1"/>
  <c r="AB206" i="107" a="1"/>
  <c r="AB206" i="107" s="1"/>
  <c r="AA206" i="107" a="1"/>
  <c r="AA206" i="107" s="1"/>
  <c r="Z206" i="107" a="1"/>
  <c r="Z206" i="107" s="1"/>
  <c r="Y206" i="107" a="1"/>
  <c r="Y206" i="107" s="1"/>
  <c r="X206" i="107" a="1"/>
  <c r="X206" i="107" s="1"/>
  <c r="W206" i="107" a="1"/>
  <c r="W206" i="107" s="1"/>
  <c r="V206" i="107" a="1"/>
  <c r="V206" i="107" s="1"/>
  <c r="U206" i="107" a="1"/>
  <c r="U206" i="107" s="1"/>
  <c r="T206" i="107" a="1"/>
  <c r="T206" i="107" s="1"/>
  <c r="S206" i="107" a="1"/>
  <c r="S206" i="107" s="1"/>
  <c r="R206" i="107" a="1"/>
  <c r="R206" i="107" s="1"/>
  <c r="Q206" i="107" a="1"/>
  <c r="Q206" i="107" s="1"/>
  <c r="P206" i="107" a="1"/>
  <c r="P206" i="107" s="1"/>
  <c r="O206" i="107" a="1"/>
  <c r="O206" i="107" s="1"/>
  <c r="N206" i="107" a="1"/>
  <c r="N206" i="107" s="1"/>
  <c r="M206" i="107" a="1"/>
  <c r="M206" i="107" s="1"/>
  <c r="L206" i="107" a="1"/>
  <c r="L206" i="107" s="1"/>
  <c r="K206" i="107" a="1"/>
  <c r="K206" i="107" s="1"/>
  <c r="J206" i="107" a="1"/>
  <c r="J206" i="107" s="1"/>
  <c r="I206" i="107" a="1"/>
  <c r="I206" i="107" s="1"/>
  <c r="H206" i="107" a="1"/>
  <c r="H206" i="107" s="1"/>
  <c r="G206" i="107" a="1"/>
  <c r="G206" i="107" s="1"/>
  <c r="F206" i="107" a="1"/>
  <c r="F206" i="107" s="1"/>
  <c r="E206" i="107" a="1"/>
  <c r="E206" i="107" s="1"/>
  <c r="D206" i="107" a="1"/>
  <c r="D206" i="107" s="1"/>
  <c r="AH205" i="107" a="1"/>
  <c r="AH205" i="107" s="1"/>
  <c r="AG205" i="107" a="1"/>
  <c r="AG205" i="107" s="1"/>
  <c r="AF205" i="107" a="1"/>
  <c r="AF205" i="107" s="1"/>
  <c r="AE205" i="107" a="1"/>
  <c r="AE205" i="107" s="1"/>
  <c r="AD205" i="107" a="1"/>
  <c r="AD205" i="107" s="1"/>
  <c r="AC205" i="107" a="1"/>
  <c r="AC205" i="107" s="1"/>
  <c r="AB205" i="107" a="1"/>
  <c r="AB205" i="107" s="1"/>
  <c r="AA205" i="107" a="1"/>
  <c r="AA205" i="107" s="1"/>
  <c r="Z205" i="107" a="1"/>
  <c r="Z205" i="107" s="1"/>
  <c r="Y205" i="107" a="1"/>
  <c r="Y205" i="107" s="1"/>
  <c r="X205" i="107" a="1"/>
  <c r="X205" i="107" s="1"/>
  <c r="W205" i="107" a="1"/>
  <c r="W205" i="107" s="1"/>
  <c r="V205" i="107" a="1"/>
  <c r="V205" i="107" s="1"/>
  <c r="U205" i="107" a="1"/>
  <c r="U205" i="107" s="1"/>
  <c r="T205" i="107" a="1"/>
  <c r="T205" i="107" s="1"/>
  <c r="S205" i="107" a="1"/>
  <c r="S205" i="107" s="1"/>
  <c r="R205" i="107" a="1"/>
  <c r="R205" i="107" s="1"/>
  <c r="Q205" i="107" a="1"/>
  <c r="Q205" i="107" s="1"/>
  <c r="P205" i="107" a="1"/>
  <c r="P205" i="107" s="1"/>
  <c r="O205" i="107" a="1"/>
  <c r="O205" i="107" s="1"/>
  <c r="N205" i="107" a="1"/>
  <c r="N205" i="107" s="1"/>
  <c r="M205" i="107" a="1"/>
  <c r="M205" i="107" s="1"/>
  <c r="L205" i="107" a="1"/>
  <c r="L205" i="107" s="1"/>
  <c r="K205" i="107" a="1"/>
  <c r="K205" i="107" s="1"/>
  <c r="J205" i="107" a="1"/>
  <c r="J205" i="107" s="1"/>
  <c r="I205" i="107" a="1"/>
  <c r="I205" i="107" s="1"/>
  <c r="H205" i="107" a="1"/>
  <c r="H205" i="107" s="1"/>
  <c r="G205" i="107" a="1"/>
  <c r="G205" i="107" s="1"/>
  <c r="F205" i="107" a="1"/>
  <c r="F205" i="107" s="1"/>
  <c r="E205" i="107" a="1"/>
  <c r="E205" i="107" s="1"/>
  <c r="D205" i="107" a="1"/>
  <c r="D205" i="107" s="1"/>
  <c r="AH204" i="107" a="1"/>
  <c r="AH204" i="107" s="1"/>
  <c r="AG204" i="107" a="1"/>
  <c r="AG204" i="107" s="1"/>
  <c r="AF204" i="107" a="1"/>
  <c r="AF204" i="107" s="1"/>
  <c r="AE204" i="107" a="1"/>
  <c r="AE204" i="107" s="1"/>
  <c r="AD204" i="107" a="1"/>
  <c r="AD204" i="107" s="1"/>
  <c r="AC204" i="107" a="1"/>
  <c r="AC204" i="107" s="1"/>
  <c r="AB204" i="107" a="1"/>
  <c r="AB204" i="107" s="1"/>
  <c r="AA204" i="107" a="1"/>
  <c r="AA204" i="107" s="1"/>
  <c r="Z204" i="107" a="1"/>
  <c r="Z204" i="107" s="1"/>
  <c r="Y204" i="107" a="1"/>
  <c r="Y204" i="107" s="1"/>
  <c r="X204" i="107" a="1"/>
  <c r="X204" i="107" s="1"/>
  <c r="W204" i="107" a="1"/>
  <c r="W204" i="107" s="1"/>
  <c r="V204" i="107" a="1"/>
  <c r="V204" i="107" s="1"/>
  <c r="U204" i="107" a="1"/>
  <c r="U204" i="107" s="1"/>
  <c r="T204" i="107" a="1"/>
  <c r="T204" i="107" s="1"/>
  <c r="S204" i="107" a="1"/>
  <c r="S204" i="107" s="1"/>
  <c r="R204" i="107" a="1"/>
  <c r="R204" i="107" s="1"/>
  <c r="Q204" i="107" a="1"/>
  <c r="Q204" i="107" s="1"/>
  <c r="P204" i="107" a="1"/>
  <c r="P204" i="107" s="1"/>
  <c r="O204" i="107" a="1"/>
  <c r="O204" i="107" s="1"/>
  <c r="N204" i="107" a="1"/>
  <c r="N204" i="107" s="1"/>
  <c r="M204" i="107" a="1"/>
  <c r="M204" i="107" s="1"/>
  <c r="L204" i="107" a="1"/>
  <c r="L204" i="107" s="1"/>
  <c r="K204" i="107" a="1"/>
  <c r="K204" i="107" s="1"/>
  <c r="J204" i="107" a="1"/>
  <c r="J204" i="107" s="1"/>
  <c r="I204" i="107" a="1"/>
  <c r="I204" i="107" s="1"/>
  <c r="H204" i="107" a="1"/>
  <c r="H204" i="107" s="1"/>
  <c r="G204" i="107" a="1"/>
  <c r="G204" i="107" s="1"/>
  <c r="F204" i="107" a="1"/>
  <c r="F204" i="107" s="1"/>
  <c r="E204" i="107" a="1"/>
  <c r="E204" i="107" s="1"/>
  <c r="D204" i="107" a="1"/>
  <c r="D204" i="107" s="1"/>
  <c r="AH203" i="107" a="1"/>
  <c r="AH203" i="107" s="1"/>
  <c r="AG203" i="107" a="1"/>
  <c r="AG203" i="107" s="1"/>
  <c r="AF203" i="107" a="1"/>
  <c r="AF203" i="107" s="1"/>
  <c r="AE203" i="107" a="1"/>
  <c r="AE203" i="107" s="1"/>
  <c r="AD203" i="107" a="1"/>
  <c r="AD203" i="107" s="1"/>
  <c r="AC203" i="107" a="1"/>
  <c r="AC203" i="107" s="1"/>
  <c r="AB203" i="107" a="1"/>
  <c r="AB203" i="107" s="1"/>
  <c r="AA203" i="107" a="1"/>
  <c r="AA203" i="107" s="1"/>
  <c r="Z203" i="107" a="1"/>
  <c r="Z203" i="107" s="1"/>
  <c r="Y203" i="107" a="1"/>
  <c r="Y203" i="107" s="1"/>
  <c r="X203" i="107" a="1"/>
  <c r="X203" i="107" s="1"/>
  <c r="W203" i="107" a="1"/>
  <c r="W203" i="107" s="1"/>
  <c r="V203" i="107" a="1"/>
  <c r="V203" i="107" s="1"/>
  <c r="U203" i="107" a="1"/>
  <c r="U203" i="107" s="1"/>
  <c r="T203" i="107" a="1"/>
  <c r="T203" i="107" s="1"/>
  <c r="S203" i="107" a="1"/>
  <c r="S203" i="107" s="1"/>
  <c r="R203" i="107" a="1"/>
  <c r="R203" i="107" s="1"/>
  <c r="Q203" i="107" a="1"/>
  <c r="Q203" i="107" s="1"/>
  <c r="P203" i="107" a="1"/>
  <c r="P203" i="107" s="1"/>
  <c r="O203" i="107" a="1"/>
  <c r="O203" i="107" s="1"/>
  <c r="N203" i="107" a="1"/>
  <c r="N203" i="107" s="1"/>
  <c r="M203" i="107" a="1"/>
  <c r="M203" i="107" s="1"/>
  <c r="L203" i="107" a="1"/>
  <c r="L203" i="107" s="1"/>
  <c r="K203" i="107" a="1"/>
  <c r="K203" i="107" s="1"/>
  <c r="J203" i="107" a="1"/>
  <c r="J203" i="107" s="1"/>
  <c r="I203" i="107" a="1"/>
  <c r="I203" i="107" s="1"/>
  <c r="H203" i="107" a="1"/>
  <c r="H203" i="107" s="1"/>
  <c r="G203" i="107" a="1"/>
  <c r="G203" i="107" s="1"/>
  <c r="F203" i="107" a="1"/>
  <c r="F203" i="107" s="1"/>
  <c r="E203" i="107" a="1"/>
  <c r="E203" i="107" s="1"/>
  <c r="D203" i="107" a="1"/>
  <c r="D203" i="107" s="1"/>
  <c r="AH202" i="107" a="1"/>
  <c r="AH202" i="107" s="1"/>
  <c r="AG202" i="107" a="1"/>
  <c r="AG202" i="107" s="1"/>
  <c r="AF202" i="107" a="1"/>
  <c r="AF202" i="107" s="1"/>
  <c r="AE202" i="107" a="1"/>
  <c r="AE202" i="107" s="1"/>
  <c r="AD202" i="107" a="1"/>
  <c r="AD202" i="107" s="1"/>
  <c r="AC202" i="107" a="1"/>
  <c r="AC202" i="107" s="1"/>
  <c r="AB202" i="107" a="1"/>
  <c r="AB202" i="107" s="1"/>
  <c r="AA202" i="107" a="1"/>
  <c r="AA202" i="107" s="1"/>
  <c r="Z202" i="107" a="1"/>
  <c r="Z202" i="107" s="1"/>
  <c r="Y202" i="107" a="1"/>
  <c r="Y202" i="107" s="1"/>
  <c r="X202" i="107" a="1"/>
  <c r="X202" i="107" s="1"/>
  <c r="W202" i="107" a="1"/>
  <c r="W202" i="107" s="1"/>
  <c r="V202" i="107" a="1"/>
  <c r="V202" i="107" s="1"/>
  <c r="U202" i="107" a="1"/>
  <c r="U202" i="107" s="1"/>
  <c r="T202" i="107" a="1"/>
  <c r="T202" i="107" s="1"/>
  <c r="S202" i="107" a="1"/>
  <c r="S202" i="107" s="1"/>
  <c r="R202" i="107" a="1"/>
  <c r="R202" i="107" s="1"/>
  <c r="Q202" i="107" a="1"/>
  <c r="Q202" i="107" s="1"/>
  <c r="P202" i="107" a="1"/>
  <c r="P202" i="107" s="1"/>
  <c r="O202" i="107" a="1"/>
  <c r="O202" i="107" s="1"/>
  <c r="N202" i="107" a="1"/>
  <c r="N202" i="107" s="1"/>
  <c r="M202" i="107" a="1"/>
  <c r="M202" i="107" s="1"/>
  <c r="L202" i="107" a="1"/>
  <c r="L202" i="107" s="1"/>
  <c r="K202" i="107" a="1"/>
  <c r="K202" i="107" s="1"/>
  <c r="J202" i="107" a="1"/>
  <c r="J202" i="107" s="1"/>
  <c r="I202" i="107" a="1"/>
  <c r="I202" i="107" s="1"/>
  <c r="H202" i="107" a="1"/>
  <c r="H202" i="107" s="1"/>
  <c r="G202" i="107" a="1"/>
  <c r="G202" i="107" s="1"/>
  <c r="F202" i="107" a="1"/>
  <c r="F202" i="107" s="1"/>
  <c r="E202" i="107" a="1"/>
  <c r="E202" i="107" s="1"/>
  <c r="D202" i="107" a="1"/>
  <c r="D202" i="107" s="1"/>
  <c r="AH201" i="107" a="1"/>
  <c r="AH201" i="107" s="1"/>
  <c r="AG201" i="107" a="1"/>
  <c r="AG201" i="107" s="1"/>
  <c r="AF201" i="107" a="1"/>
  <c r="AF201" i="107" s="1"/>
  <c r="AE201" i="107" a="1"/>
  <c r="AE201" i="107" s="1"/>
  <c r="AD201" i="107" a="1"/>
  <c r="AD201" i="107" s="1"/>
  <c r="AC201" i="107" a="1"/>
  <c r="AC201" i="107" s="1"/>
  <c r="AB201" i="107" a="1"/>
  <c r="AB201" i="107" s="1"/>
  <c r="AA201" i="107" a="1"/>
  <c r="AA201" i="107" s="1"/>
  <c r="Z201" i="107" a="1"/>
  <c r="Z201" i="107" s="1"/>
  <c r="Y201" i="107" a="1"/>
  <c r="Y201" i="107" s="1"/>
  <c r="X201" i="107" a="1"/>
  <c r="X201" i="107" s="1"/>
  <c r="W201" i="107" a="1"/>
  <c r="W201" i="107" s="1"/>
  <c r="V201" i="107" a="1"/>
  <c r="V201" i="107" s="1"/>
  <c r="U201" i="107" a="1"/>
  <c r="U201" i="107" s="1"/>
  <c r="T201" i="107" a="1"/>
  <c r="T201" i="107" s="1"/>
  <c r="S201" i="107" a="1"/>
  <c r="S201" i="107" s="1"/>
  <c r="R201" i="107" a="1"/>
  <c r="R201" i="107" s="1"/>
  <c r="Q201" i="107" a="1"/>
  <c r="Q201" i="107" s="1"/>
  <c r="P201" i="107" a="1"/>
  <c r="P201" i="107" s="1"/>
  <c r="O201" i="107" a="1"/>
  <c r="O201" i="107" s="1"/>
  <c r="N201" i="107" a="1"/>
  <c r="N201" i="107" s="1"/>
  <c r="M201" i="107" a="1"/>
  <c r="M201" i="107" s="1"/>
  <c r="L201" i="107" a="1"/>
  <c r="L201" i="107" s="1"/>
  <c r="K201" i="107" a="1"/>
  <c r="K201" i="107" s="1"/>
  <c r="J201" i="107" a="1"/>
  <c r="J201" i="107" s="1"/>
  <c r="I201" i="107" a="1"/>
  <c r="I201" i="107" s="1"/>
  <c r="H201" i="107" a="1"/>
  <c r="H201" i="107" s="1"/>
  <c r="G201" i="107" a="1"/>
  <c r="G201" i="107" s="1"/>
  <c r="F201" i="107" a="1"/>
  <c r="F201" i="107" s="1"/>
  <c r="E201" i="107" a="1"/>
  <c r="E201" i="107" s="1"/>
  <c r="D201" i="107" a="1"/>
  <c r="D201" i="107" s="1"/>
  <c r="AH200" i="107" a="1"/>
  <c r="AH200" i="107" s="1"/>
  <c r="AG200" i="107" a="1"/>
  <c r="AG200" i="107" s="1"/>
  <c r="AF200" i="107" a="1"/>
  <c r="AF200" i="107" s="1"/>
  <c r="AE200" i="107" a="1"/>
  <c r="AE200" i="107" s="1"/>
  <c r="AD200" i="107" a="1"/>
  <c r="AD200" i="107" s="1"/>
  <c r="AC200" i="107" a="1"/>
  <c r="AC200" i="107" s="1"/>
  <c r="AB200" i="107" a="1"/>
  <c r="AB200" i="107" s="1"/>
  <c r="AA200" i="107" a="1"/>
  <c r="AA200" i="107" s="1"/>
  <c r="Z200" i="107" a="1"/>
  <c r="Z200" i="107" s="1"/>
  <c r="Y200" i="107" a="1"/>
  <c r="Y200" i="107" s="1"/>
  <c r="X200" i="107" a="1"/>
  <c r="X200" i="107" s="1"/>
  <c r="W200" i="107" a="1"/>
  <c r="W200" i="107" s="1"/>
  <c r="V200" i="107" a="1"/>
  <c r="V200" i="107" s="1"/>
  <c r="U200" i="107" a="1"/>
  <c r="U200" i="107" s="1"/>
  <c r="T200" i="107" a="1"/>
  <c r="T200" i="107" s="1"/>
  <c r="S200" i="107" a="1"/>
  <c r="S200" i="107" s="1"/>
  <c r="R200" i="107" a="1"/>
  <c r="R200" i="107" s="1"/>
  <c r="Q200" i="107" a="1"/>
  <c r="Q200" i="107" s="1"/>
  <c r="P200" i="107" a="1"/>
  <c r="P200" i="107" s="1"/>
  <c r="O200" i="107" a="1"/>
  <c r="O200" i="107" s="1"/>
  <c r="N200" i="107" a="1"/>
  <c r="N200" i="107" s="1"/>
  <c r="M200" i="107" a="1"/>
  <c r="M200" i="107" s="1"/>
  <c r="L200" i="107" a="1"/>
  <c r="L200" i="107" s="1"/>
  <c r="K200" i="107" a="1"/>
  <c r="K200" i="107" s="1"/>
  <c r="J200" i="107" a="1"/>
  <c r="J200" i="107" s="1"/>
  <c r="I200" i="107" a="1"/>
  <c r="I200" i="107" s="1"/>
  <c r="H200" i="107" a="1"/>
  <c r="H200" i="107" s="1"/>
  <c r="G200" i="107" a="1"/>
  <c r="G200" i="107" s="1"/>
  <c r="F200" i="107" a="1"/>
  <c r="F200" i="107" s="1"/>
  <c r="E200" i="107" a="1"/>
  <c r="E200" i="107" s="1"/>
  <c r="D200" i="107" a="1"/>
  <c r="D200" i="107" s="1"/>
  <c r="AH199" i="107" a="1"/>
  <c r="AH199" i="107" s="1"/>
  <c r="AG199" i="107" a="1"/>
  <c r="AG199" i="107" s="1"/>
  <c r="AF199" i="107" a="1"/>
  <c r="AF199" i="107" s="1"/>
  <c r="AE199" i="107" a="1"/>
  <c r="AE199" i="107" s="1"/>
  <c r="AD199" i="107" a="1"/>
  <c r="AD199" i="107" s="1"/>
  <c r="AC199" i="107" a="1"/>
  <c r="AC199" i="107" s="1"/>
  <c r="AB199" i="107" a="1"/>
  <c r="AB199" i="107" s="1"/>
  <c r="AA199" i="107" a="1"/>
  <c r="AA199" i="107" s="1"/>
  <c r="Z199" i="107" a="1"/>
  <c r="Z199" i="107" s="1"/>
  <c r="Y199" i="107" a="1"/>
  <c r="Y199" i="107" s="1"/>
  <c r="X199" i="107" a="1"/>
  <c r="X199" i="107" s="1"/>
  <c r="W199" i="107" a="1"/>
  <c r="W199" i="107" s="1"/>
  <c r="V199" i="107" a="1"/>
  <c r="V199" i="107" s="1"/>
  <c r="U199" i="107" a="1"/>
  <c r="U199" i="107" s="1"/>
  <c r="T199" i="107" a="1"/>
  <c r="T199" i="107" s="1"/>
  <c r="S199" i="107" a="1"/>
  <c r="S199" i="107" s="1"/>
  <c r="R199" i="107" a="1"/>
  <c r="R199" i="107" s="1"/>
  <c r="Q199" i="107" a="1"/>
  <c r="Q199" i="107" s="1"/>
  <c r="P199" i="107" a="1"/>
  <c r="P199" i="107" s="1"/>
  <c r="O199" i="107" a="1"/>
  <c r="O199" i="107" s="1"/>
  <c r="N199" i="107" a="1"/>
  <c r="N199" i="107" s="1"/>
  <c r="M199" i="107" a="1"/>
  <c r="M199" i="107" s="1"/>
  <c r="L199" i="107" a="1"/>
  <c r="L199" i="107" s="1"/>
  <c r="K199" i="107" a="1"/>
  <c r="K199" i="107" s="1"/>
  <c r="J199" i="107" a="1"/>
  <c r="J199" i="107" s="1"/>
  <c r="I199" i="107" a="1"/>
  <c r="I199" i="107" s="1"/>
  <c r="H199" i="107" a="1"/>
  <c r="H199" i="107" s="1"/>
  <c r="G199" i="107" a="1"/>
  <c r="G199" i="107" s="1"/>
  <c r="F199" i="107" a="1"/>
  <c r="F199" i="107" s="1"/>
  <c r="E199" i="107" a="1"/>
  <c r="E199" i="107" s="1"/>
  <c r="D199" i="107" a="1"/>
  <c r="D199" i="107" s="1"/>
  <c r="AH198" i="107" a="1"/>
  <c r="AH198" i="107" s="1"/>
  <c r="AG198" i="107" a="1"/>
  <c r="AG198" i="107" s="1"/>
  <c r="AF198" i="107" a="1"/>
  <c r="AF198" i="107" s="1"/>
  <c r="AE198" i="107" a="1"/>
  <c r="AE198" i="107" s="1"/>
  <c r="AD198" i="107" a="1"/>
  <c r="AD198" i="107" s="1"/>
  <c r="AC198" i="107" a="1"/>
  <c r="AC198" i="107" s="1"/>
  <c r="AB198" i="107" a="1"/>
  <c r="AB198" i="107" s="1"/>
  <c r="AA198" i="107" a="1"/>
  <c r="AA198" i="107" s="1"/>
  <c r="Z198" i="107" a="1"/>
  <c r="Z198" i="107" s="1"/>
  <c r="Y198" i="107" a="1"/>
  <c r="Y198" i="107" s="1"/>
  <c r="X198" i="107" a="1"/>
  <c r="X198" i="107" s="1"/>
  <c r="W198" i="107" a="1"/>
  <c r="W198" i="107" s="1"/>
  <c r="V198" i="107" a="1"/>
  <c r="V198" i="107" s="1"/>
  <c r="U198" i="107" a="1"/>
  <c r="U198" i="107" s="1"/>
  <c r="T198" i="107" a="1"/>
  <c r="T198" i="107" s="1"/>
  <c r="S198" i="107" a="1"/>
  <c r="S198" i="107" s="1"/>
  <c r="R198" i="107" a="1"/>
  <c r="R198" i="107" s="1"/>
  <c r="Q198" i="107" a="1"/>
  <c r="Q198" i="107" s="1"/>
  <c r="P198" i="107" a="1"/>
  <c r="P198" i="107" s="1"/>
  <c r="O198" i="107" a="1"/>
  <c r="O198" i="107" s="1"/>
  <c r="N198" i="107" a="1"/>
  <c r="N198" i="107" s="1"/>
  <c r="M198" i="107" a="1"/>
  <c r="M198" i="107" s="1"/>
  <c r="L198" i="107" a="1"/>
  <c r="L198" i="107" s="1"/>
  <c r="K198" i="107" a="1"/>
  <c r="K198" i="107" s="1"/>
  <c r="J198" i="107" a="1"/>
  <c r="J198" i="107" s="1"/>
  <c r="I198" i="107" a="1"/>
  <c r="I198" i="107" s="1"/>
  <c r="H198" i="107" a="1"/>
  <c r="H198" i="107" s="1"/>
  <c r="G198" i="107" a="1"/>
  <c r="G198" i="107" s="1"/>
  <c r="F198" i="107" a="1"/>
  <c r="F198" i="107" s="1"/>
  <c r="E198" i="107" a="1"/>
  <c r="E198" i="107" s="1"/>
  <c r="D198" i="107" a="1"/>
  <c r="D198" i="107" s="1"/>
  <c r="AH197" i="107" a="1"/>
  <c r="AH197" i="107" s="1"/>
  <c r="AG197" i="107" a="1"/>
  <c r="AG197" i="107" s="1"/>
  <c r="AF197" i="107" a="1"/>
  <c r="AF197" i="107" s="1"/>
  <c r="AE197" i="107" a="1"/>
  <c r="AE197" i="107" s="1"/>
  <c r="AD197" i="107" a="1"/>
  <c r="AD197" i="107" s="1"/>
  <c r="AC197" i="107" a="1"/>
  <c r="AC197" i="107" s="1"/>
  <c r="AB197" i="107" a="1"/>
  <c r="AB197" i="107" s="1"/>
  <c r="AA197" i="107" a="1"/>
  <c r="AA197" i="107" s="1"/>
  <c r="Z197" i="107" a="1"/>
  <c r="Z197" i="107" s="1"/>
  <c r="Y197" i="107" a="1"/>
  <c r="Y197" i="107" s="1"/>
  <c r="X197" i="107" a="1"/>
  <c r="X197" i="107" s="1"/>
  <c r="W197" i="107" a="1"/>
  <c r="W197" i="107" s="1"/>
  <c r="V197" i="107" a="1"/>
  <c r="V197" i="107" s="1"/>
  <c r="U197" i="107" a="1"/>
  <c r="U197" i="107" s="1"/>
  <c r="T197" i="107" a="1"/>
  <c r="T197" i="107" s="1"/>
  <c r="S197" i="107" a="1"/>
  <c r="S197" i="107" s="1"/>
  <c r="R197" i="107" a="1"/>
  <c r="R197" i="107" s="1"/>
  <c r="Q197" i="107" a="1"/>
  <c r="Q197" i="107" s="1"/>
  <c r="P197" i="107" a="1"/>
  <c r="P197" i="107" s="1"/>
  <c r="O197" i="107" a="1"/>
  <c r="O197" i="107" s="1"/>
  <c r="N197" i="107" a="1"/>
  <c r="N197" i="107" s="1"/>
  <c r="M197" i="107" a="1"/>
  <c r="M197" i="107" s="1"/>
  <c r="L197" i="107" a="1"/>
  <c r="L197" i="107" s="1"/>
  <c r="K197" i="107" a="1"/>
  <c r="K197" i="107" s="1"/>
  <c r="J197" i="107" a="1"/>
  <c r="J197" i="107" s="1"/>
  <c r="I197" i="107" a="1"/>
  <c r="I197" i="107" s="1"/>
  <c r="H197" i="107" a="1"/>
  <c r="H197" i="107" s="1"/>
  <c r="G197" i="107" a="1"/>
  <c r="G197" i="107" s="1"/>
  <c r="F197" i="107" a="1"/>
  <c r="F197" i="107" s="1"/>
  <c r="E197" i="107" a="1"/>
  <c r="E197" i="107" s="1"/>
  <c r="D197" i="107" a="1"/>
  <c r="D197" i="107" s="1"/>
  <c r="AH196" i="107" a="1"/>
  <c r="AH196" i="107" s="1"/>
  <c r="AG196" i="107" a="1"/>
  <c r="AG196" i="107" s="1"/>
  <c r="AF196" i="107" a="1"/>
  <c r="AF196" i="107" s="1"/>
  <c r="AE196" i="107" a="1"/>
  <c r="AE196" i="107" s="1"/>
  <c r="AD196" i="107" a="1"/>
  <c r="AD196" i="107" s="1"/>
  <c r="AC196" i="107" a="1"/>
  <c r="AC196" i="107" s="1"/>
  <c r="AB196" i="107" a="1"/>
  <c r="AB196" i="107" s="1"/>
  <c r="AA196" i="107" a="1"/>
  <c r="AA196" i="107" s="1"/>
  <c r="Z196" i="107" a="1"/>
  <c r="Z196" i="107" s="1"/>
  <c r="Y196" i="107" a="1"/>
  <c r="Y196" i="107" s="1"/>
  <c r="X196" i="107" a="1"/>
  <c r="X196" i="107" s="1"/>
  <c r="W196" i="107" a="1"/>
  <c r="W196" i="107" s="1"/>
  <c r="V196" i="107" a="1"/>
  <c r="V196" i="107" s="1"/>
  <c r="U196" i="107" a="1"/>
  <c r="U196" i="107" s="1"/>
  <c r="T196" i="107" a="1"/>
  <c r="T196" i="107" s="1"/>
  <c r="S196" i="107" a="1"/>
  <c r="S196" i="107" s="1"/>
  <c r="R196" i="107" a="1"/>
  <c r="R196" i="107" s="1"/>
  <c r="Q196" i="107" a="1"/>
  <c r="Q196" i="107" s="1"/>
  <c r="P196" i="107" a="1"/>
  <c r="P196" i="107" s="1"/>
  <c r="O196" i="107" a="1"/>
  <c r="O196" i="107" s="1"/>
  <c r="N196" i="107" a="1"/>
  <c r="N196" i="107" s="1"/>
  <c r="M196" i="107" a="1"/>
  <c r="M196" i="107" s="1"/>
  <c r="L196" i="107" a="1"/>
  <c r="L196" i="107" s="1"/>
  <c r="K196" i="107" a="1"/>
  <c r="K196" i="107" s="1"/>
  <c r="J196" i="107" a="1"/>
  <c r="J196" i="107" s="1"/>
  <c r="I196" i="107" a="1"/>
  <c r="I196" i="107" s="1"/>
  <c r="H196" i="107" a="1"/>
  <c r="H196" i="107" s="1"/>
  <c r="G196" i="107" a="1"/>
  <c r="G196" i="107" s="1"/>
  <c r="F196" i="107" a="1"/>
  <c r="F196" i="107" s="1"/>
  <c r="E196" i="107" a="1"/>
  <c r="E196" i="107" s="1"/>
  <c r="D196" i="107" a="1"/>
  <c r="D196" i="107" s="1"/>
  <c r="AH195" i="107" a="1"/>
  <c r="AH195" i="107" s="1"/>
  <c r="AG195" i="107" a="1"/>
  <c r="AG195" i="107" s="1"/>
  <c r="AF195" i="107" a="1"/>
  <c r="AF195" i="107" s="1"/>
  <c r="AE195" i="107" a="1"/>
  <c r="AE195" i="107" s="1"/>
  <c r="AD195" i="107" a="1"/>
  <c r="AD195" i="107" s="1"/>
  <c r="AC195" i="107" a="1"/>
  <c r="AC195" i="107" s="1"/>
  <c r="AB195" i="107" a="1"/>
  <c r="AB195" i="107" s="1"/>
  <c r="AA195" i="107" a="1"/>
  <c r="AA195" i="107" s="1"/>
  <c r="Z195" i="107" a="1"/>
  <c r="Z195" i="107" s="1"/>
  <c r="Y195" i="107" a="1"/>
  <c r="Y195" i="107" s="1"/>
  <c r="X195" i="107" a="1"/>
  <c r="X195" i="107" s="1"/>
  <c r="W195" i="107" a="1"/>
  <c r="W195" i="107" s="1"/>
  <c r="V195" i="107" a="1"/>
  <c r="V195" i="107" s="1"/>
  <c r="U195" i="107" a="1"/>
  <c r="U195" i="107" s="1"/>
  <c r="T195" i="107" a="1"/>
  <c r="T195" i="107" s="1"/>
  <c r="S195" i="107" a="1"/>
  <c r="S195" i="107" s="1"/>
  <c r="R195" i="107" a="1"/>
  <c r="R195" i="107" s="1"/>
  <c r="Q195" i="107" a="1"/>
  <c r="Q195" i="107" s="1"/>
  <c r="P195" i="107" a="1"/>
  <c r="P195" i="107" s="1"/>
  <c r="O195" i="107" a="1"/>
  <c r="O195" i="107" s="1"/>
  <c r="N195" i="107" a="1"/>
  <c r="N195" i="107" s="1"/>
  <c r="M195" i="107" a="1"/>
  <c r="M195" i="107" s="1"/>
  <c r="L195" i="107" a="1"/>
  <c r="L195" i="107" s="1"/>
  <c r="K195" i="107" a="1"/>
  <c r="K195" i="107" s="1"/>
  <c r="J195" i="107" a="1"/>
  <c r="J195" i="107" s="1"/>
  <c r="I195" i="107" a="1"/>
  <c r="I195" i="107" s="1"/>
  <c r="H195" i="107" a="1"/>
  <c r="H195" i="107" s="1"/>
  <c r="G195" i="107" a="1"/>
  <c r="G195" i="107" s="1"/>
  <c r="F195" i="107" a="1"/>
  <c r="F195" i="107" s="1"/>
  <c r="E195" i="107" a="1"/>
  <c r="E195" i="107" s="1"/>
  <c r="D195" i="107" a="1"/>
  <c r="D195" i="107" s="1"/>
  <c r="AH194" i="107" a="1"/>
  <c r="AH194" i="107" s="1"/>
  <c r="AG194" i="107" a="1"/>
  <c r="AG194" i="107" s="1"/>
  <c r="AF194" i="107" a="1"/>
  <c r="AF194" i="107" s="1"/>
  <c r="AE194" i="107" a="1"/>
  <c r="AE194" i="107" s="1"/>
  <c r="AD194" i="107" a="1"/>
  <c r="AD194" i="107" s="1"/>
  <c r="AC194" i="107" a="1"/>
  <c r="AC194" i="107" s="1"/>
  <c r="AB194" i="107" a="1"/>
  <c r="AB194" i="107" s="1"/>
  <c r="AA194" i="107" a="1"/>
  <c r="AA194" i="107" s="1"/>
  <c r="Z194" i="107" a="1"/>
  <c r="Z194" i="107" s="1"/>
  <c r="Y194" i="107" a="1"/>
  <c r="Y194" i="107" s="1"/>
  <c r="X194" i="107" a="1"/>
  <c r="X194" i="107" s="1"/>
  <c r="W194" i="107" a="1"/>
  <c r="W194" i="107" s="1"/>
  <c r="V194" i="107" a="1"/>
  <c r="V194" i="107" s="1"/>
  <c r="U194" i="107" a="1"/>
  <c r="U194" i="107" s="1"/>
  <c r="T194" i="107" a="1"/>
  <c r="T194" i="107" s="1"/>
  <c r="S194" i="107" a="1"/>
  <c r="S194" i="107" s="1"/>
  <c r="R194" i="107" a="1"/>
  <c r="R194" i="107" s="1"/>
  <c r="Q194" i="107" a="1"/>
  <c r="Q194" i="107" s="1"/>
  <c r="P194" i="107" a="1"/>
  <c r="P194" i="107" s="1"/>
  <c r="O194" i="107" a="1"/>
  <c r="O194" i="107" s="1"/>
  <c r="N194" i="107" a="1"/>
  <c r="N194" i="107" s="1"/>
  <c r="M194" i="107" a="1"/>
  <c r="M194" i="107" s="1"/>
  <c r="L194" i="107" a="1"/>
  <c r="L194" i="107" s="1"/>
  <c r="K194" i="107" a="1"/>
  <c r="K194" i="107" s="1"/>
  <c r="J194" i="107" a="1"/>
  <c r="J194" i="107" s="1"/>
  <c r="I194" i="107" a="1"/>
  <c r="I194" i="107" s="1"/>
  <c r="H194" i="107" a="1"/>
  <c r="H194" i="107" s="1"/>
  <c r="G194" i="107" a="1"/>
  <c r="G194" i="107" s="1"/>
  <c r="F194" i="107" a="1"/>
  <c r="F194" i="107" s="1"/>
  <c r="E194" i="107" a="1"/>
  <c r="E194" i="107" s="1"/>
  <c r="D194" i="107" a="1"/>
  <c r="D194" i="107" s="1"/>
  <c r="AH193" i="107" a="1"/>
  <c r="AH193" i="107" s="1"/>
  <c r="AG193" i="107" a="1"/>
  <c r="AG193" i="107" s="1"/>
  <c r="AF193" i="107" a="1"/>
  <c r="AF193" i="107" s="1"/>
  <c r="AE193" i="107" a="1"/>
  <c r="AE193" i="107" s="1"/>
  <c r="AD193" i="107" a="1"/>
  <c r="AD193" i="107" s="1"/>
  <c r="AC193" i="107" a="1"/>
  <c r="AC193" i="107" s="1"/>
  <c r="AB193" i="107" a="1"/>
  <c r="AB193" i="107" s="1"/>
  <c r="AA193" i="107" a="1"/>
  <c r="AA193" i="107" s="1"/>
  <c r="Z193" i="107" a="1"/>
  <c r="Z193" i="107" s="1"/>
  <c r="Y193" i="107" a="1"/>
  <c r="Y193" i="107" s="1"/>
  <c r="X193" i="107" a="1"/>
  <c r="X193" i="107" s="1"/>
  <c r="W193" i="107" a="1"/>
  <c r="W193" i="107" s="1"/>
  <c r="V193" i="107" a="1"/>
  <c r="V193" i="107" s="1"/>
  <c r="U193" i="107" a="1"/>
  <c r="U193" i="107" s="1"/>
  <c r="T193" i="107" a="1"/>
  <c r="T193" i="107" s="1"/>
  <c r="S193" i="107" a="1"/>
  <c r="S193" i="107" s="1"/>
  <c r="R193" i="107" a="1"/>
  <c r="R193" i="107" s="1"/>
  <c r="Q193" i="107" a="1"/>
  <c r="Q193" i="107" s="1"/>
  <c r="P193" i="107" a="1"/>
  <c r="P193" i="107" s="1"/>
  <c r="O193" i="107" a="1"/>
  <c r="O193" i="107" s="1"/>
  <c r="N193" i="107" a="1"/>
  <c r="N193" i="107" s="1"/>
  <c r="M193" i="107" a="1"/>
  <c r="M193" i="107" s="1"/>
  <c r="L193" i="107" a="1"/>
  <c r="L193" i="107" s="1"/>
  <c r="K193" i="107" a="1"/>
  <c r="K193" i="107" s="1"/>
  <c r="J193" i="107" a="1"/>
  <c r="J193" i="107" s="1"/>
  <c r="I193" i="107" a="1"/>
  <c r="I193" i="107" s="1"/>
  <c r="H193" i="107" a="1"/>
  <c r="H193" i="107" s="1"/>
  <c r="G193" i="107" a="1"/>
  <c r="G193" i="107" s="1"/>
  <c r="F193" i="107" a="1"/>
  <c r="F193" i="107" s="1"/>
  <c r="E193" i="107" a="1"/>
  <c r="E193" i="107" s="1"/>
  <c r="D193" i="107" a="1"/>
  <c r="D193" i="107" s="1"/>
  <c r="AH192" i="107" a="1"/>
  <c r="AH192" i="107" s="1"/>
  <c r="AG192" i="107" a="1"/>
  <c r="AG192" i="107" s="1"/>
  <c r="AF192" i="107" a="1"/>
  <c r="AF192" i="107" s="1"/>
  <c r="AE192" i="107" a="1"/>
  <c r="AE192" i="107" s="1"/>
  <c r="AD192" i="107" a="1"/>
  <c r="AD192" i="107" s="1"/>
  <c r="AC192" i="107" a="1"/>
  <c r="AC192" i="107" s="1"/>
  <c r="AB192" i="107" a="1"/>
  <c r="AB192" i="107" s="1"/>
  <c r="AA192" i="107" a="1"/>
  <c r="AA192" i="107" s="1"/>
  <c r="Z192" i="107" a="1"/>
  <c r="Z192" i="107" s="1"/>
  <c r="Y192" i="107" a="1"/>
  <c r="Y192" i="107" s="1"/>
  <c r="X192" i="107" a="1"/>
  <c r="X192" i="107" s="1"/>
  <c r="W192" i="107" a="1"/>
  <c r="W192" i="107" s="1"/>
  <c r="V192" i="107" a="1"/>
  <c r="V192" i="107" s="1"/>
  <c r="U192" i="107" a="1"/>
  <c r="U192" i="107" s="1"/>
  <c r="T192" i="107" a="1"/>
  <c r="T192" i="107" s="1"/>
  <c r="S192" i="107" a="1"/>
  <c r="S192" i="107" s="1"/>
  <c r="R192" i="107" a="1"/>
  <c r="R192" i="107" s="1"/>
  <c r="Q192" i="107" a="1"/>
  <c r="Q192" i="107" s="1"/>
  <c r="P192" i="107" a="1"/>
  <c r="P192" i="107" s="1"/>
  <c r="O192" i="107" a="1"/>
  <c r="O192" i="107" s="1"/>
  <c r="N192" i="107" a="1"/>
  <c r="N192" i="107" s="1"/>
  <c r="M192" i="107" a="1"/>
  <c r="M192" i="107" s="1"/>
  <c r="L192" i="107" a="1"/>
  <c r="L192" i="107" s="1"/>
  <c r="K192" i="107" a="1"/>
  <c r="K192" i="107" s="1"/>
  <c r="J192" i="107" a="1"/>
  <c r="J192" i="107" s="1"/>
  <c r="I192" i="107" a="1"/>
  <c r="I192" i="107" s="1"/>
  <c r="H192" i="107" a="1"/>
  <c r="H192" i="107" s="1"/>
  <c r="G192" i="107" a="1"/>
  <c r="G192" i="107" s="1"/>
  <c r="F192" i="107" a="1"/>
  <c r="F192" i="107" s="1"/>
  <c r="E192" i="107" a="1"/>
  <c r="E192" i="107" s="1"/>
  <c r="D192" i="107" a="1"/>
  <c r="D192" i="107" s="1"/>
  <c r="AH191" i="107" a="1"/>
  <c r="AH191" i="107" s="1"/>
  <c r="AG191" i="107" a="1"/>
  <c r="AG191" i="107" s="1"/>
  <c r="AF191" i="107" a="1"/>
  <c r="AF191" i="107" s="1"/>
  <c r="AE191" i="107" a="1"/>
  <c r="AE191" i="107" s="1"/>
  <c r="AD191" i="107" a="1"/>
  <c r="AD191" i="107" s="1"/>
  <c r="AC191" i="107" a="1"/>
  <c r="AC191" i="107" s="1"/>
  <c r="AB191" i="107" a="1"/>
  <c r="AB191" i="107" s="1"/>
  <c r="AA191" i="107" a="1"/>
  <c r="AA191" i="107" s="1"/>
  <c r="Z191" i="107" a="1"/>
  <c r="Z191" i="107" s="1"/>
  <c r="Y191" i="107" a="1"/>
  <c r="Y191" i="107" s="1"/>
  <c r="X191" i="107" a="1"/>
  <c r="X191" i="107" s="1"/>
  <c r="W191" i="107" a="1"/>
  <c r="W191" i="107" s="1"/>
  <c r="V191" i="107" a="1"/>
  <c r="V191" i="107" s="1"/>
  <c r="U191" i="107" a="1"/>
  <c r="U191" i="107" s="1"/>
  <c r="T191" i="107" a="1"/>
  <c r="T191" i="107" s="1"/>
  <c r="S191" i="107" a="1"/>
  <c r="S191" i="107" s="1"/>
  <c r="R191" i="107" a="1"/>
  <c r="R191" i="107" s="1"/>
  <c r="Q191" i="107" a="1"/>
  <c r="Q191" i="107" s="1"/>
  <c r="P191" i="107" a="1"/>
  <c r="P191" i="107" s="1"/>
  <c r="O191" i="107" a="1"/>
  <c r="O191" i="107" s="1"/>
  <c r="N191" i="107" a="1"/>
  <c r="N191" i="107" s="1"/>
  <c r="M191" i="107" a="1"/>
  <c r="M191" i="107" s="1"/>
  <c r="L191" i="107" a="1"/>
  <c r="L191" i="107" s="1"/>
  <c r="K191" i="107" a="1"/>
  <c r="K191" i="107" s="1"/>
  <c r="J191" i="107" a="1"/>
  <c r="J191" i="107" s="1"/>
  <c r="I191" i="107" a="1"/>
  <c r="I191" i="107" s="1"/>
  <c r="H191" i="107" a="1"/>
  <c r="H191" i="107" s="1"/>
  <c r="G191" i="107" a="1"/>
  <c r="G191" i="107" s="1"/>
  <c r="F191" i="107" a="1"/>
  <c r="F191" i="107" s="1"/>
  <c r="E191" i="107" a="1"/>
  <c r="E191" i="107" s="1"/>
  <c r="D191" i="107" a="1"/>
  <c r="D191" i="107" s="1"/>
  <c r="AH190" i="107" a="1"/>
  <c r="AH190" i="107" s="1"/>
  <c r="AG190" i="107" a="1"/>
  <c r="AG190" i="107" s="1"/>
  <c r="AF190" i="107" a="1"/>
  <c r="AF190" i="107" s="1"/>
  <c r="AE190" i="107" a="1"/>
  <c r="AE190" i="107" s="1"/>
  <c r="AD190" i="107" a="1"/>
  <c r="AD190" i="107" s="1"/>
  <c r="AC190" i="107" a="1"/>
  <c r="AC190" i="107" s="1"/>
  <c r="AB190" i="107" a="1"/>
  <c r="AB190" i="107" s="1"/>
  <c r="AA190" i="107" a="1"/>
  <c r="AA190" i="107" s="1"/>
  <c r="Z190" i="107" a="1"/>
  <c r="Z190" i="107" s="1"/>
  <c r="Y190" i="107" a="1"/>
  <c r="Y190" i="107" s="1"/>
  <c r="X190" i="107" a="1"/>
  <c r="X190" i="107" s="1"/>
  <c r="W190" i="107" a="1"/>
  <c r="W190" i="107" s="1"/>
  <c r="V190" i="107" a="1"/>
  <c r="V190" i="107" s="1"/>
  <c r="U190" i="107" a="1"/>
  <c r="U190" i="107" s="1"/>
  <c r="T190" i="107" a="1"/>
  <c r="T190" i="107" s="1"/>
  <c r="S190" i="107" a="1"/>
  <c r="S190" i="107" s="1"/>
  <c r="R190" i="107" a="1"/>
  <c r="R190" i="107" s="1"/>
  <c r="Q190" i="107" a="1"/>
  <c r="Q190" i="107" s="1"/>
  <c r="P190" i="107" a="1"/>
  <c r="P190" i="107" s="1"/>
  <c r="O190" i="107" a="1"/>
  <c r="O190" i="107" s="1"/>
  <c r="N190" i="107" a="1"/>
  <c r="N190" i="107" s="1"/>
  <c r="M190" i="107" a="1"/>
  <c r="M190" i="107" s="1"/>
  <c r="L190" i="107" a="1"/>
  <c r="L190" i="107" s="1"/>
  <c r="K190" i="107" a="1"/>
  <c r="K190" i="107" s="1"/>
  <c r="J190" i="107" a="1"/>
  <c r="J190" i="107" s="1"/>
  <c r="I190" i="107" a="1"/>
  <c r="I190" i="107" s="1"/>
  <c r="H190" i="107" a="1"/>
  <c r="H190" i="107" s="1"/>
  <c r="G190" i="107" a="1"/>
  <c r="G190" i="107" s="1"/>
  <c r="F190" i="107" a="1"/>
  <c r="F190" i="107" s="1"/>
  <c r="E190" i="107" a="1"/>
  <c r="E190" i="107" s="1"/>
  <c r="D190" i="107" a="1"/>
  <c r="D190" i="107" s="1"/>
  <c r="AH189" i="107" a="1"/>
  <c r="AH189" i="107" s="1"/>
  <c r="AG189" i="107" a="1"/>
  <c r="AG189" i="107" s="1"/>
  <c r="AF189" i="107" a="1"/>
  <c r="AF189" i="107" s="1"/>
  <c r="AE189" i="107" a="1"/>
  <c r="AE189" i="107" s="1"/>
  <c r="AD189" i="107" a="1"/>
  <c r="AD189" i="107" s="1"/>
  <c r="AC189" i="107" a="1"/>
  <c r="AC189" i="107" s="1"/>
  <c r="AB189" i="107" a="1"/>
  <c r="AB189" i="107" s="1"/>
  <c r="AA189" i="107" a="1"/>
  <c r="AA189" i="107" s="1"/>
  <c r="Z189" i="107" a="1"/>
  <c r="Z189" i="107" s="1"/>
  <c r="Y189" i="107" a="1"/>
  <c r="Y189" i="107" s="1"/>
  <c r="X189" i="107" a="1"/>
  <c r="X189" i="107" s="1"/>
  <c r="W189" i="107" a="1"/>
  <c r="W189" i="107" s="1"/>
  <c r="V189" i="107" a="1"/>
  <c r="V189" i="107" s="1"/>
  <c r="U189" i="107" a="1"/>
  <c r="U189" i="107" s="1"/>
  <c r="T189" i="107" a="1"/>
  <c r="T189" i="107" s="1"/>
  <c r="S189" i="107" a="1"/>
  <c r="S189" i="107" s="1"/>
  <c r="R189" i="107" a="1"/>
  <c r="R189" i="107" s="1"/>
  <c r="Q189" i="107" a="1"/>
  <c r="Q189" i="107" s="1"/>
  <c r="P189" i="107" a="1"/>
  <c r="P189" i="107" s="1"/>
  <c r="O189" i="107" a="1"/>
  <c r="O189" i="107" s="1"/>
  <c r="N189" i="107" a="1"/>
  <c r="N189" i="107" s="1"/>
  <c r="M189" i="107" a="1"/>
  <c r="M189" i="107" s="1"/>
  <c r="L189" i="107" a="1"/>
  <c r="L189" i="107" s="1"/>
  <c r="K189" i="107" a="1"/>
  <c r="K189" i="107" s="1"/>
  <c r="J189" i="107" a="1"/>
  <c r="J189" i="107" s="1"/>
  <c r="I189" i="107" a="1"/>
  <c r="I189" i="107" s="1"/>
  <c r="H189" i="107" a="1"/>
  <c r="H189" i="107" s="1"/>
  <c r="G189" i="107" a="1"/>
  <c r="G189" i="107" s="1"/>
  <c r="F189" i="107" a="1"/>
  <c r="F189" i="107" s="1"/>
  <c r="E189" i="107" a="1"/>
  <c r="E189" i="107" s="1"/>
  <c r="D189" i="107" a="1"/>
  <c r="D189" i="107" s="1"/>
  <c r="AH188" i="107" a="1"/>
  <c r="AH188" i="107" s="1"/>
  <c r="AG188" i="107" a="1"/>
  <c r="AG188" i="107" s="1"/>
  <c r="AF188" i="107" a="1"/>
  <c r="AF188" i="107" s="1"/>
  <c r="AE188" i="107" a="1"/>
  <c r="AE188" i="107" s="1"/>
  <c r="AD188" i="107" a="1"/>
  <c r="AD188" i="107" s="1"/>
  <c r="AC188" i="107" a="1"/>
  <c r="AC188" i="107" s="1"/>
  <c r="AB188" i="107" a="1"/>
  <c r="AB188" i="107" s="1"/>
  <c r="AA188" i="107" a="1"/>
  <c r="AA188" i="107" s="1"/>
  <c r="Z188" i="107" a="1"/>
  <c r="Z188" i="107" s="1"/>
  <c r="Y188" i="107" a="1"/>
  <c r="Y188" i="107" s="1"/>
  <c r="X188" i="107" a="1"/>
  <c r="X188" i="107" s="1"/>
  <c r="W188" i="107" a="1"/>
  <c r="W188" i="107" s="1"/>
  <c r="V188" i="107" a="1"/>
  <c r="V188" i="107" s="1"/>
  <c r="U188" i="107" a="1"/>
  <c r="U188" i="107" s="1"/>
  <c r="T188" i="107" a="1"/>
  <c r="T188" i="107" s="1"/>
  <c r="S188" i="107" a="1"/>
  <c r="S188" i="107" s="1"/>
  <c r="R188" i="107" a="1"/>
  <c r="R188" i="107" s="1"/>
  <c r="Q188" i="107" a="1"/>
  <c r="Q188" i="107" s="1"/>
  <c r="P188" i="107" a="1"/>
  <c r="P188" i="107" s="1"/>
  <c r="O188" i="107" a="1"/>
  <c r="O188" i="107" s="1"/>
  <c r="N188" i="107" a="1"/>
  <c r="N188" i="107" s="1"/>
  <c r="M188" i="107" a="1"/>
  <c r="M188" i="107" s="1"/>
  <c r="L188" i="107" a="1"/>
  <c r="L188" i="107" s="1"/>
  <c r="K188" i="107" a="1"/>
  <c r="K188" i="107" s="1"/>
  <c r="J188" i="107" a="1"/>
  <c r="J188" i="107" s="1"/>
  <c r="I188" i="107" a="1"/>
  <c r="I188" i="107" s="1"/>
  <c r="H188" i="107" a="1"/>
  <c r="H188" i="107" s="1"/>
  <c r="G188" i="107" a="1"/>
  <c r="G188" i="107" s="1"/>
  <c r="F188" i="107" a="1"/>
  <c r="F188" i="107" s="1"/>
  <c r="E188" i="107" a="1"/>
  <c r="E188" i="107" s="1"/>
  <c r="D188" i="107" a="1"/>
  <c r="D188" i="107" s="1"/>
  <c r="AH187" i="107" a="1"/>
  <c r="AH187" i="107" s="1"/>
  <c r="AG187" i="107" a="1"/>
  <c r="AG187" i="107" s="1"/>
  <c r="AF187" i="107" a="1"/>
  <c r="AF187" i="107" s="1"/>
  <c r="AE187" i="107" a="1"/>
  <c r="AE187" i="107" s="1"/>
  <c r="AD187" i="107" a="1"/>
  <c r="AD187" i="107" s="1"/>
  <c r="AC187" i="107" a="1"/>
  <c r="AC187" i="107" s="1"/>
  <c r="AB187" i="107" a="1"/>
  <c r="AB187" i="107" s="1"/>
  <c r="AA187" i="107" a="1"/>
  <c r="AA187" i="107" s="1"/>
  <c r="Z187" i="107" a="1"/>
  <c r="Z187" i="107" s="1"/>
  <c r="Y187" i="107" a="1"/>
  <c r="Y187" i="107" s="1"/>
  <c r="X187" i="107" a="1"/>
  <c r="X187" i="107" s="1"/>
  <c r="W187" i="107" a="1"/>
  <c r="W187" i="107" s="1"/>
  <c r="V187" i="107" a="1"/>
  <c r="V187" i="107" s="1"/>
  <c r="U187" i="107" a="1"/>
  <c r="U187" i="107" s="1"/>
  <c r="T187" i="107" a="1"/>
  <c r="T187" i="107" s="1"/>
  <c r="S187" i="107" a="1"/>
  <c r="S187" i="107" s="1"/>
  <c r="R187" i="107" a="1"/>
  <c r="R187" i="107" s="1"/>
  <c r="Q187" i="107" a="1"/>
  <c r="Q187" i="107" s="1"/>
  <c r="P187" i="107" a="1"/>
  <c r="P187" i="107" s="1"/>
  <c r="O187" i="107" a="1"/>
  <c r="O187" i="107" s="1"/>
  <c r="N187" i="107" a="1"/>
  <c r="N187" i="107" s="1"/>
  <c r="M187" i="107" a="1"/>
  <c r="M187" i="107" s="1"/>
  <c r="L187" i="107" a="1"/>
  <c r="L187" i="107" s="1"/>
  <c r="K187" i="107" a="1"/>
  <c r="K187" i="107" s="1"/>
  <c r="J187" i="107" a="1"/>
  <c r="J187" i="107" s="1"/>
  <c r="I187" i="107" a="1"/>
  <c r="I187" i="107" s="1"/>
  <c r="H187" i="107" a="1"/>
  <c r="H187" i="107" s="1"/>
  <c r="G187" i="107" a="1"/>
  <c r="G187" i="107" s="1"/>
  <c r="F187" i="107" a="1"/>
  <c r="F187" i="107" s="1"/>
  <c r="E187" i="107" a="1"/>
  <c r="E187" i="107" s="1"/>
  <c r="D187" i="107" a="1"/>
  <c r="D187" i="107" s="1"/>
  <c r="AH186" i="107" a="1"/>
  <c r="AH186" i="107" s="1"/>
  <c r="AG186" i="107" a="1"/>
  <c r="AG186" i="107" s="1"/>
  <c r="AF186" i="107" a="1"/>
  <c r="AF186" i="107" s="1"/>
  <c r="AE186" i="107" a="1"/>
  <c r="AE186" i="107" s="1"/>
  <c r="AD186" i="107" a="1"/>
  <c r="AD186" i="107" s="1"/>
  <c r="AC186" i="107" a="1"/>
  <c r="AC186" i="107" s="1"/>
  <c r="AB186" i="107" a="1"/>
  <c r="AB186" i="107" s="1"/>
  <c r="AA186" i="107" a="1"/>
  <c r="AA186" i="107" s="1"/>
  <c r="Z186" i="107" a="1"/>
  <c r="Z186" i="107" s="1"/>
  <c r="Y186" i="107" a="1"/>
  <c r="Y186" i="107" s="1"/>
  <c r="X186" i="107" a="1"/>
  <c r="X186" i="107" s="1"/>
  <c r="W186" i="107" a="1"/>
  <c r="W186" i="107" s="1"/>
  <c r="V186" i="107" a="1"/>
  <c r="V186" i="107" s="1"/>
  <c r="U186" i="107" a="1"/>
  <c r="U186" i="107" s="1"/>
  <c r="T186" i="107" a="1"/>
  <c r="T186" i="107" s="1"/>
  <c r="S186" i="107" a="1"/>
  <c r="S186" i="107" s="1"/>
  <c r="R186" i="107" a="1"/>
  <c r="R186" i="107" s="1"/>
  <c r="Q186" i="107" a="1"/>
  <c r="Q186" i="107" s="1"/>
  <c r="P186" i="107" a="1"/>
  <c r="P186" i="107" s="1"/>
  <c r="O186" i="107" a="1"/>
  <c r="O186" i="107" s="1"/>
  <c r="N186" i="107" a="1"/>
  <c r="N186" i="107" s="1"/>
  <c r="M186" i="107" a="1"/>
  <c r="M186" i="107" s="1"/>
  <c r="L186" i="107" a="1"/>
  <c r="L186" i="107" s="1"/>
  <c r="K186" i="107" a="1"/>
  <c r="K186" i="107" s="1"/>
  <c r="J186" i="107" a="1"/>
  <c r="J186" i="107" s="1"/>
  <c r="I186" i="107" a="1"/>
  <c r="I186" i="107" s="1"/>
  <c r="H186" i="107" a="1"/>
  <c r="H186" i="107" s="1"/>
  <c r="G186" i="107" a="1"/>
  <c r="G186" i="107" s="1"/>
  <c r="F186" i="107" a="1"/>
  <c r="F186" i="107" s="1"/>
  <c r="E186" i="107" a="1"/>
  <c r="E186" i="107" s="1"/>
  <c r="D186" i="107" a="1"/>
  <c r="D186" i="107" s="1"/>
  <c r="AH185" i="107" a="1"/>
  <c r="AH185" i="107" s="1"/>
  <c r="AG185" i="107" a="1"/>
  <c r="AG185" i="107" s="1"/>
  <c r="AF185" i="107" a="1"/>
  <c r="AF185" i="107" s="1"/>
  <c r="AE185" i="107" a="1"/>
  <c r="AE185" i="107" s="1"/>
  <c r="AD185" i="107" a="1"/>
  <c r="AD185" i="107" s="1"/>
  <c r="AC185" i="107" a="1"/>
  <c r="AC185" i="107" s="1"/>
  <c r="AB185" i="107" a="1"/>
  <c r="AB185" i="107" s="1"/>
  <c r="AA185" i="107" a="1"/>
  <c r="AA185" i="107" s="1"/>
  <c r="Z185" i="107" a="1"/>
  <c r="Z185" i="107" s="1"/>
  <c r="Y185" i="107" a="1"/>
  <c r="Y185" i="107" s="1"/>
  <c r="X185" i="107" a="1"/>
  <c r="X185" i="107" s="1"/>
  <c r="W185" i="107" a="1"/>
  <c r="W185" i="107" s="1"/>
  <c r="V185" i="107" a="1"/>
  <c r="V185" i="107" s="1"/>
  <c r="U185" i="107" a="1"/>
  <c r="U185" i="107" s="1"/>
  <c r="T185" i="107" a="1"/>
  <c r="T185" i="107" s="1"/>
  <c r="S185" i="107" a="1"/>
  <c r="S185" i="107" s="1"/>
  <c r="R185" i="107" a="1"/>
  <c r="R185" i="107" s="1"/>
  <c r="Q185" i="107" a="1"/>
  <c r="Q185" i="107" s="1"/>
  <c r="P185" i="107" a="1"/>
  <c r="P185" i="107" s="1"/>
  <c r="O185" i="107" a="1"/>
  <c r="O185" i="107" s="1"/>
  <c r="N185" i="107" a="1"/>
  <c r="N185" i="107" s="1"/>
  <c r="M185" i="107" a="1"/>
  <c r="M185" i="107" s="1"/>
  <c r="L185" i="107" a="1"/>
  <c r="L185" i="107" s="1"/>
  <c r="K185" i="107" a="1"/>
  <c r="K185" i="107" s="1"/>
  <c r="J185" i="107" a="1"/>
  <c r="J185" i="107" s="1"/>
  <c r="I185" i="107" a="1"/>
  <c r="I185" i="107" s="1"/>
  <c r="H185" i="107" a="1"/>
  <c r="H185" i="107" s="1"/>
  <c r="G185" i="107" a="1"/>
  <c r="G185" i="107" s="1"/>
  <c r="F185" i="107" a="1"/>
  <c r="F185" i="107" s="1"/>
  <c r="E185" i="107" a="1"/>
  <c r="E185" i="107" s="1"/>
  <c r="D185" i="107" a="1"/>
  <c r="D185" i="107" s="1"/>
  <c r="AH184" i="107" a="1"/>
  <c r="AH184" i="107" s="1"/>
  <c r="AG184" i="107" a="1"/>
  <c r="AG184" i="107" s="1"/>
  <c r="AF184" i="107" a="1"/>
  <c r="AF184" i="107" s="1"/>
  <c r="AE184" i="107" a="1"/>
  <c r="AE184" i="107" s="1"/>
  <c r="AD184" i="107" a="1"/>
  <c r="AD184" i="107" s="1"/>
  <c r="AC184" i="107" a="1"/>
  <c r="AC184" i="107" s="1"/>
  <c r="AB184" i="107" a="1"/>
  <c r="AB184" i="107" s="1"/>
  <c r="AA184" i="107" a="1"/>
  <c r="AA184" i="107" s="1"/>
  <c r="Z184" i="107" a="1"/>
  <c r="Z184" i="107" s="1"/>
  <c r="Y184" i="107" a="1"/>
  <c r="Y184" i="107" s="1"/>
  <c r="X184" i="107" a="1"/>
  <c r="X184" i="107" s="1"/>
  <c r="W184" i="107" a="1"/>
  <c r="W184" i="107" s="1"/>
  <c r="V184" i="107" a="1"/>
  <c r="V184" i="107" s="1"/>
  <c r="U184" i="107" a="1"/>
  <c r="U184" i="107" s="1"/>
  <c r="T184" i="107" a="1"/>
  <c r="T184" i="107" s="1"/>
  <c r="S184" i="107" a="1"/>
  <c r="S184" i="107" s="1"/>
  <c r="R184" i="107" a="1"/>
  <c r="R184" i="107" s="1"/>
  <c r="Q184" i="107" a="1"/>
  <c r="Q184" i="107" s="1"/>
  <c r="P184" i="107" a="1"/>
  <c r="P184" i="107" s="1"/>
  <c r="O184" i="107" a="1"/>
  <c r="O184" i="107" s="1"/>
  <c r="N184" i="107" a="1"/>
  <c r="N184" i="107" s="1"/>
  <c r="M184" i="107" a="1"/>
  <c r="M184" i="107" s="1"/>
  <c r="L184" i="107" a="1"/>
  <c r="L184" i="107" s="1"/>
  <c r="K184" i="107" a="1"/>
  <c r="K184" i="107" s="1"/>
  <c r="J184" i="107" a="1"/>
  <c r="J184" i="107" s="1"/>
  <c r="I184" i="107" a="1"/>
  <c r="I184" i="107" s="1"/>
  <c r="H184" i="107" a="1"/>
  <c r="H184" i="107" s="1"/>
  <c r="G184" i="107" a="1"/>
  <c r="G184" i="107" s="1"/>
  <c r="F184" i="107" a="1"/>
  <c r="F184" i="107" s="1"/>
  <c r="E184" i="107" a="1"/>
  <c r="E184" i="107" s="1"/>
  <c r="D184" i="107" a="1"/>
  <c r="D184" i="107" s="1"/>
  <c r="AH183" i="107" a="1"/>
  <c r="AH183" i="107" s="1"/>
  <c r="AG183" i="107" a="1"/>
  <c r="AG183" i="107" s="1"/>
  <c r="AF183" i="107" a="1"/>
  <c r="AF183" i="107" s="1"/>
  <c r="AE183" i="107" a="1"/>
  <c r="AE183" i="107" s="1"/>
  <c r="AD183" i="107" a="1"/>
  <c r="AD183" i="107" s="1"/>
  <c r="AC183" i="107" a="1"/>
  <c r="AC183" i="107" s="1"/>
  <c r="AB183" i="107" a="1"/>
  <c r="AB183" i="107" s="1"/>
  <c r="AA183" i="107" a="1"/>
  <c r="AA183" i="107" s="1"/>
  <c r="Z183" i="107" a="1"/>
  <c r="Z183" i="107" s="1"/>
  <c r="Y183" i="107" a="1"/>
  <c r="Y183" i="107" s="1"/>
  <c r="X183" i="107" a="1"/>
  <c r="X183" i="107" s="1"/>
  <c r="W183" i="107" a="1"/>
  <c r="W183" i="107" s="1"/>
  <c r="V183" i="107" a="1"/>
  <c r="V183" i="107" s="1"/>
  <c r="U183" i="107" a="1"/>
  <c r="U183" i="107" s="1"/>
  <c r="T183" i="107" a="1"/>
  <c r="T183" i="107" s="1"/>
  <c r="S183" i="107" a="1"/>
  <c r="S183" i="107" s="1"/>
  <c r="R183" i="107" a="1"/>
  <c r="R183" i="107" s="1"/>
  <c r="Q183" i="107" a="1"/>
  <c r="Q183" i="107" s="1"/>
  <c r="P183" i="107" a="1"/>
  <c r="P183" i="107" s="1"/>
  <c r="O183" i="107" a="1"/>
  <c r="O183" i="107" s="1"/>
  <c r="N183" i="107" a="1"/>
  <c r="N183" i="107" s="1"/>
  <c r="M183" i="107" a="1"/>
  <c r="M183" i="107" s="1"/>
  <c r="L183" i="107" a="1"/>
  <c r="L183" i="107" s="1"/>
  <c r="K183" i="107" a="1"/>
  <c r="K183" i="107" s="1"/>
  <c r="J183" i="107" a="1"/>
  <c r="J183" i="107" s="1"/>
  <c r="I183" i="107" a="1"/>
  <c r="I183" i="107" s="1"/>
  <c r="H183" i="107" a="1"/>
  <c r="H183" i="107" s="1"/>
  <c r="G183" i="107" a="1"/>
  <c r="G183" i="107" s="1"/>
  <c r="F183" i="107" a="1"/>
  <c r="F183" i="107" s="1"/>
  <c r="E183" i="107" a="1"/>
  <c r="E183" i="107" s="1"/>
  <c r="D183" i="107" a="1"/>
  <c r="D183" i="107" s="1"/>
  <c r="AH182" i="107" a="1"/>
  <c r="AH182" i="107" s="1"/>
  <c r="AG182" i="107" a="1"/>
  <c r="AG182" i="107" s="1"/>
  <c r="AF182" i="107" a="1"/>
  <c r="AF182" i="107" s="1"/>
  <c r="AE182" i="107" a="1"/>
  <c r="AE182" i="107" s="1"/>
  <c r="AD182" i="107" a="1"/>
  <c r="AD182" i="107" s="1"/>
  <c r="AC182" i="107" a="1"/>
  <c r="AC182" i="107" s="1"/>
  <c r="AB182" i="107" a="1"/>
  <c r="AB182" i="107" s="1"/>
  <c r="AA182" i="107" a="1"/>
  <c r="AA182" i="107" s="1"/>
  <c r="Z182" i="107" a="1"/>
  <c r="Z182" i="107" s="1"/>
  <c r="Y182" i="107" a="1"/>
  <c r="Y182" i="107" s="1"/>
  <c r="X182" i="107" a="1"/>
  <c r="X182" i="107" s="1"/>
  <c r="W182" i="107" a="1"/>
  <c r="W182" i="107" s="1"/>
  <c r="V182" i="107" a="1"/>
  <c r="V182" i="107" s="1"/>
  <c r="U182" i="107" a="1"/>
  <c r="U182" i="107" s="1"/>
  <c r="T182" i="107" a="1"/>
  <c r="T182" i="107" s="1"/>
  <c r="S182" i="107" a="1"/>
  <c r="S182" i="107" s="1"/>
  <c r="R182" i="107" a="1"/>
  <c r="R182" i="107" s="1"/>
  <c r="Q182" i="107" a="1"/>
  <c r="Q182" i="107" s="1"/>
  <c r="P182" i="107" a="1"/>
  <c r="P182" i="107" s="1"/>
  <c r="O182" i="107" a="1"/>
  <c r="O182" i="107" s="1"/>
  <c r="N182" i="107" a="1"/>
  <c r="N182" i="107" s="1"/>
  <c r="M182" i="107" a="1"/>
  <c r="M182" i="107" s="1"/>
  <c r="L182" i="107" a="1"/>
  <c r="L182" i="107" s="1"/>
  <c r="K182" i="107" a="1"/>
  <c r="K182" i="107" s="1"/>
  <c r="J182" i="107" a="1"/>
  <c r="J182" i="107" s="1"/>
  <c r="I182" i="107" a="1"/>
  <c r="I182" i="107" s="1"/>
  <c r="H182" i="107" a="1"/>
  <c r="H182" i="107" s="1"/>
  <c r="G182" i="107" a="1"/>
  <c r="G182" i="107" s="1"/>
  <c r="F182" i="107" a="1"/>
  <c r="F182" i="107" s="1"/>
  <c r="E182" i="107" a="1"/>
  <c r="E182" i="107" s="1"/>
  <c r="D182" i="107" a="1"/>
  <c r="D182" i="107" s="1"/>
  <c r="AH181" i="107" a="1"/>
  <c r="AH181" i="107" s="1"/>
  <c r="AG181" i="107" a="1"/>
  <c r="AG181" i="107" s="1"/>
  <c r="AF181" i="107" a="1"/>
  <c r="AF181" i="107" s="1"/>
  <c r="AE181" i="107" a="1"/>
  <c r="AE181" i="107" s="1"/>
  <c r="AD181" i="107" a="1"/>
  <c r="AD181" i="107" s="1"/>
  <c r="AC181" i="107" a="1"/>
  <c r="AC181" i="107" s="1"/>
  <c r="AB181" i="107" a="1"/>
  <c r="AB181" i="107" s="1"/>
  <c r="AA181" i="107" a="1"/>
  <c r="AA181" i="107" s="1"/>
  <c r="Z181" i="107" a="1"/>
  <c r="Z181" i="107" s="1"/>
  <c r="Y181" i="107" a="1"/>
  <c r="Y181" i="107" s="1"/>
  <c r="X181" i="107" a="1"/>
  <c r="X181" i="107" s="1"/>
  <c r="W181" i="107" a="1"/>
  <c r="W181" i="107" s="1"/>
  <c r="V181" i="107" a="1"/>
  <c r="V181" i="107" s="1"/>
  <c r="U181" i="107" a="1"/>
  <c r="U181" i="107" s="1"/>
  <c r="T181" i="107" a="1"/>
  <c r="T181" i="107" s="1"/>
  <c r="S181" i="107" a="1"/>
  <c r="S181" i="107" s="1"/>
  <c r="R181" i="107" a="1"/>
  <c r="R181" i="107" s="1"/>
  <c r="Q181" i="107" a="1"/>
  <c r="Q181" i="107" s="1"/>
  <c r="P181" i="107" a="1"/>
  <c r="P181" i="107" s="1"/>
  <c r="O181" i="107" a="1"/>
  <c r="O181" i="107" s="1"/>
  <c r="N181" i="107" a="1"/>
  <c r="N181" i="107" s="1"/>
  <c r="M181" i="107" a="1"/>
  <c r="M181" i="107" s="1"/>
  <c r="L181" i="107" a="1"/>
  <c r="L181" i="107" s="1"/>
  <c r="K181" i="107" a="1"/>
  <c r="K181" i="107" s="1"/>
  <c r="J181" i="107" a="1"/>
  <c r="J181" i="107" s="1"/>
  <c r="I181" i="107" a="1"/>
  <c r="I181" i="107" s="1"/>
  <c r="H181" i="107" a="1"/>
  <c r="H181" i="107" s="1"/>
  <c r="G181" i="107" a="1"/>
  <c r="G181" i="107" s="1"/>
  <c r="F181" i="107" a="1"/>
  <c r="F181" i="107" s="1"/>
  <c r="E181" i="107" a="1"/>
  <c r="E181" i="107" s="1"/>
  <c r="D181" i="107" a="1"/>
  <c r="D181" i="107" s="1"/>
  <c r="AH180" i="107" a="1"/>
  <c r="AH180" i="107" s="1"/>
  <c r="AG180" i="107" a="1"/>
  <c r="AG180" i="107" s="1"/>
  <c r="AF180" i="107" a="1"/>
  <c r="AF180" i="107" s="1"/>
  <c r="AE180" i="107" a="1"/>
  <c r="AE180" i="107" s="1"/>
  <c r="AD180" i="107" a="1"/>
  <c r="AD180" i="107" s="1"/>
  <c r="AC180" i="107" a="1"/>
  <c r="AC180" i="107" s="1"/>
  <c r="AB180" i="107" a="1"/>
  <c r="AB180" i="107" s="1"/>
  <c r="AA180" i="107" a="1"/>
  <c r="AA180" i="107" s="1"/>
  <c r="Z180" i="107" a="1"/>
  <c r="Z180" i="107" s="1"/>
  <c r="Y180" i="107" a="1"/>
  <c r="Y180" i="107" s="1"/>
  <c r="X180" i="107" a="1"/>
  <c r="X180" i="107" s="1"/>
  <c r="W180" i="107" a="1"/>
  <c r="W180" i="107" s="1"/>
  <c r="V180" i="107" a="1"/>
  <c r="V180" i="107" s="1"/>
  <c r="U180" i="107" a="1"/>
  <c r="U180" i="107" s="1"/>
  <c r="T180" i="107" a="1"/>
  <c r="T180" i="107" s="1"/>
  <c r="S180" i="107" a="1"/>
  <c r="S180" i="107" s="1"/>
  <c r="R180" i="107" a="1"/>
  <c r="R180" i="107" s="1"/>
  <c r="Q180" i="107" a="1"/>
  <c r="Q180" i="107" s="1"/>
  <c r="P180" i="107" a="1"/>
  <c r="P180" i="107" s="1"/>
  <c r="O180" i="107" a="1"/>
  <c r="O180" i="107" s="1"/>
  <c r="N180" i="107" a="1"/>
  <c r="N180" i="107" s="1"/>
  <c r="M180" i="107" a="1"/>
  <c r="M180" i="107" s="1"/>
  <c r="L180" i="107" a="1"/>
  <c r="L180" i="107" s="1"/>
  <c r="K180" i="107" a="1"/>
  <c r="K180" i="107" s="1"/>
  <c r="J180" i="107" a="1"/>
  <c r="J180" i="107" s="1"/>
  <c r="I180" i="107" a="1"/>
  <c r="I180" i="107" s="1"/>
  <c r="H180" i="107" a="1"/>
  <c r="H180" i="107" s="1"/>
  <c r="G180" i="107" a="1"/>
  <c r="G180" i="107" s="1"/>
  <c r="F180" i="107" a="1"/>
  <c r="F180" i="107" s="1"/>
  <c r="E180" i="107" a="1"/>
  <c r="E180" i="107" s="1"/>
  <c r="D180" i="107" a="1"/>
  <c r="D180" i="107" s="1"/>
  <c r="AH179" i="107" a="1"/>
  <c r="AH179" i="107" s="1"/>
  <c r="AG179" i="107" a="1"/>
  <c r="AG179" i="107" s="1"/>
  <c r="AF179" i="107" a="1"/>
  <c r="AF179" i="107" s="1"/>
  <c r="AE179" i="107" a="1"/>
  <c r="AE179" i="107" s="1"/>
  <c r="AD179" i="107" a="1"/>
  <c r="AD179" i="107" s="1"/>
  <c r="AC179" i="107" a="1"/>
  <c r="AC179" i="107" s="1"/>
  <c r="AB179" i="107" a="1"/>
  <c r="AB179" i="107" s="1"/>
  <c r="AA179" i="107" a="1"/>
  <c r="AA179" i="107" s="1"/>
  <c r="Z179" i="107" a="1"/>
  <c r="Z179" i="107" s="1"/>
  <c r="Y179" i="107" a="1"/>
  <c r="Y179" i="107" s="1"/>
  <c r="X179" i="107" a="1"/>
  <c r="X179" i="107" s="1"/>
  <c r="W179" i="107" a="1"/>
  <c r="W179" i="107" s="1"/>
  <c r="V179" i="107" a="1"/>
  <c r="V179" i="107" s="1"/>
  <c r="U179" i="107" a="1"/>
  <c r="U179" i="107" s="1"/>
  <c r="T179" i="107" a="1"/>
  <c r="T179" i="107" s="1"/>
  <c r="S179" i="107" a="1"/>
  <c r="S179" i="107" s="1"/>
  <c r="R179" i="107" a="1"/>
  <c r="R179" i="107" s="1"/>
  <c r="Q179" i="107" a="1"/>
  <c r="Q179" i="107" s="1"/>
  <c r="P179" i="107" a="1"/>
  <c r="P179" i="107" s="1"/>
  <c r="O179" i="107" a="1"/>
  <c r="O179" i="107" s="1"/>
  <c r="N179" i="107" a="1"/>
  <c r="N179" i="107" s="1"/>
  <c r="M179" i="107" a="1"/>
  <c r="M179" i="107" s="1"/>
  <c r="L179" i="107" a="1"/>
  <c r="L179" i="107" s="1"/>
  <c r="K179" i="107" a="1"/>
  <c r="K179" i="107" s="1"/>
  <c r="J179" i="107" a="1"/>
  <c r="J179" i="107" s="1"/>
  <c r="I179" i="107" a="1"/>
  <c r="I179" i="107" s="1"/>
  <c r="H179" i="107" a="1"/>
  <c r="H179" i="107" s="1"/>
  <c r="G179" i="107" a="1"/>
  <c r="G179" i="107" s="1"/>
  <c r="F179" i="107" a="1"/>
  <c r="F179" i="107" s="1"/>
  <c r="E179" i="107" a="1"/>
  <c r="E179" i="107" s="1"/>
  <c r="D179" i="107" a="1"/>
  <c r="D179" i="107" s="1"/>
  <c r="AH178" i="107" a="1"/>
  <c r="AH178" i="107" s="1"/>
  <c r="AG178" i="107" a="1"/>
  <c r="AG178" i="107" s="1"/>
  <c r="AF178" i="107" a="1"/>
  <c r="AF178" i="107" s="1"/>
  <c r="AE178" i="107" a="1"/>
  <c r="AE178" i="107" s="1"/>
  <c r="AD178" i="107" a="1"/>
  <c r="AD178" i="107" s="1"/>
  <c r="AC178" i="107" a="1"/>
  <c r="AC178" i="107" s="1"/>
  <c r="AB178" i="107" a="1"/>
  <c r="AB178" i="107" s="1"/>
  <c r="AA178" i="107" a="1"/>
  <c r="AA178" i="107" s="1"/>
  <c r="Z178" i="107" a="1"/>
  <c r="Z178" i="107" s="1"/>
  <c r="Y178" i="107" a="1"/>
  <c r="Y178" i="107" s="1"/>
  <c r="X178" i="107" a="1"/>
  <c r="X178" i="107" s="1"/>
  <c r="W178" i="107" a="1"/>
  <c r="W178" i="107" s="1"/>
  <c r="V178" i="107" a="1"/>
  <c r="V178" i="107" s="1"/>
  <c r="U178" i="107" a="1"/>
  <c r="U178" i="107" s="1"/>
  <c r="T178" i="107" a="1"/>
  <c r="T178" i="107" s="1"/>
  <c r="S178" i="107" a="1"/>
  <c r="S178" i="107" s="1"/>
  <c r="R178" i="107" a="1"/>
  <c r="R178" i="107" s="1"/>
  <c r="Q178" i="107" a="1"/>
  <c r="Q178" i="107" s="1"/>
  <c r="P178" i="107" a="1"/>
  <c r="P178" i="107" s="1"/>
  <c r="O178" i="107" a="1"/>
  <c r="O178" i="107" s="1"/>
  <c r="N178" i="107" a="1"/>
  <c r="N178" i="107" s="1"/>
  <c r="M178" i="107" a="1"/>
  <c r="M178" i="107" s="1"/>
  <c r="L178" i="107" a="1"/>
  <c r="L178" i="107" s="1"/>
  <c r="K178" i="107" a="1"/>
  <c r="K178" i="107" s="1"/>
  <c r="J178" i="107" a="1"/>
  <c r="J178" i="107" s="1"/>
  <c r="I178" i="107" a="1"/>
  <c r="I178" i="107" s="1"/>
  <c r="H178" i="107" a="1"/>
  <c r="H178" i="107" s="1"/>
  <c r="G178" i="107" a="1"/>
  <c r="G178" i="107" s="1"/>
  <c r="F178" i="107" a="1"/>
  <c r="F178" i="107" s="1"/>
  <c r="E178" i="107" a="1"/>
  <c r="E178" i="107" s="1"/>
  <c r="D178" i="107" a="1"/>
  <c r="D178" i="107" s="1"/>
  <c r="AH177" i="107" a="1"/>
  <c r="AH177" i="107" s="1"/>
  <c r="AG177" i="107" a="1"/>
  <c r="AG177" i="107" s="1"/>
  <c r="AF177" i="107" a="1"/>
  <c r="AF177" i="107" s="1"/>
  <c r="AE177" i="107" a="1"/>
  <c r="AE177" i="107" s="1"/>
  <c r="AD177" i="107" a="1"/>
  <c r="AD177" i="107" s="1"/>
  <c r="AC177" i="107" a="1"/>
  <c r="AC177" i="107" s="1"/>
  <c r="AB177" i="107" a="1"/>
  <c r="AB177" i="107" s="1"/>
  <c r="AA177" i="107" a="1"/>
  <c r="AA177" i="107" s="1"/>
  <c r="Z177" i="107" a="1"/>
  <c r="Z177" i="107" s="1"/>
  <c r="Y177" i="107" a="1"/>
  <c r="Y177" i="107" s="1"/>
  <c r="X177" i="107" a="1"/>
  <c r="X177" i="107" s="1"/>
  <c r="W177" i="107" a="1"/>
  <c r="W177" i="107" s="1"/>
  <c r="V177" i="107" a="1"/>
  <c r="V177" i="107" s="1"/>
  <c r="U177" i="107" a="1"/>
  <c r="U177" i="107" s="1"/>
  <c r="T177" i="107" a="1"/>
  <c r="T177" i="107" s="1"/>
  <c r="S177" i="107" a="1"/>
  <c r="S177" i="107" s="1"/>
  <c r="R177" i="107" a="1"/>
  <c r="R177" i="107" s="1"/>
  <c r="Q177" i="107" a="1"/>
  <c r="Q177" i="107" s="1"/>
  <c r="P177" i="107" a="1"/>
  <c r="P177" i="107" s="1"/>
  <c r="O177" i="107" a="1"/>
  <c r="O177" i="107" s="1"/>
  <c r="N177" i="107" a="1"/>
  <c r="N177" i="107" s="1"/>
  <c r="M177" i="107" a="1"/>
  <c r="M177" i="107" s="1"/>
  <c r="L177" i="107" a="1"/>
  <c r="L177" i="107" s="1"/>
  <c r="K177" i="107" a="1"/>
  <c r="K177" i="107" s="1"/>
  <c r="J177" i="107" a="1"/>
  <c r="J177" i="107" s="1"/>
  <c r="I177" i="107" a="1"/>
  <c r="I177" i="107" s="1"/>
  <c r="H177" i="107" a="1"/>
  <c r="H177" i="107" s="1"/>
  <c r="G177" i="107" a="1"/>
  <c r="G177" i="107" s="1"/>
  <c r="F177" i="107" a="1"/>
  <c r="F177" i="107" s="1"/>
  <c r="E177" i="107" a="1"/>
  <c r="E177" i="107" s="1"/>
  <c r="D177" i="107" a="1"/>
  <c r="D177" i="107" s="1"/>
  <c r="AH176" i="107" a="1"/>
  <c r="AH176" i="107" s="1"/>
  <c r="AG176" i="107" a="1"/>
  <c r="AG176" i="107" s="1"/>
  <c r="AF176" i="107" a="1"/>
  <c r="AF176" i="107" s="1"/>
  <c r="AE176" i="107" a="1"/>
  <c r="AE176" i="107" s="1"/>
  <c r="AD176" i="107" a="1"/>
  <c r="AD176" i="107" s="1"/>
  <c r="AC176" i="107" a="1"/>
  <c r="AC176" i="107" s="1"/>
  <c r="AB176" i="107" a="1"/>
  <c r="AB176" i="107" s="1"/>
  <c r="AA176" i="107" a="1"/>
  <c r="AA176" i="107" s="1"/>
  <c r="Z176" i="107" a="1"/>
  <c r="Z176" i="107" s="1"/>
  <c r="Y176" i="107" a="1"/>
  <c r="Y176" i="107" s="1"/>
  <c r="X176" i="107" a="1"/>
  <c r="X176" i="107" s="1"/>
  <c r="W176" i="107" a="1"/>
  <c r="W176" i="107" s="1"/>
  <c r="V176" i="107" a="1"/>
  <c r="V176" i="107" s="1"/>
  <c r="U176" i="107" a="1"/>
  <c r="U176" i="107" s="1"/>
  <c r="T176" i="107" a="1"/>
  <c r="T176" i="107" s="1"/>
  <c r="S176" i="107" a="1"/>
  <c r="S176" i="107" s="1"/>
  <c r="R176" i="107" a="1"/>
  <c r="R176" i="107" s="1"/>
  <c r="Q176" i="107" a="1"/>
  <c r="Q176" i="107" s="1"/>
  <c r="P176" i="107" a="1"/>
  <c r="P176" i="107" s="1"/>
  <c r="O176" i="107" a="1"/>
  <c r="O176" i="107" s="1"/>
  <c r="N176" i="107" a="1"/>
  <c r="N176" i="107" s="1"/>
  <c r="M176" i="107" a="1"/>
  <c r="M176" i="107" s="1"/>
  <c r="L176" i="107" a="1"/>
  <c r="L176" i="107" s="1"/>
  <c r="K176" i="107" a="1"/>
  <c r="K176" i="107" s="1"/>
  <c r="J176" i="107" a="1"/>
  <c r="J176" i="107" s="1"/>
  <c r="I176" i="107" a="1"/>
  <c r="I176" i="107" s="1"/>
  <c r="H176" i="107" a="1"/>
  <c r="H176" i="107" s="1"/>
  <c r="G176" i="107" a="1"/>
  <c r="G176" i="107" s="1"/>
  <c r="F176" i="107" a="1"/>
  <c r="F176" i="107" s="1"/>
  <c r="E176" i="107" a="1"/>
  <c r="E176" i="107" s="1"/>
  <c r="D176" i="107" a="1"/>
  <c r="D176" i="107" s="1"/>
  <c r="AH175" i="107" a="1"/>
  <c r="AH175" i="107" s="1"/>
  <c r="AG175" i="107" a="1"/>
  <c r="AG175" i="107" s="1"/>
  <c r="AF175" i="107" a="1"/>
  <c r="AF175" i="107" s="1"/>
  <c r="AE175" i="107" a="1"/>
  <c r="AE175" i="107" s="1"/>
  <c r="AD175" i="107" a="1"/>
  <c r="AD175" i="107" s="1"/>
  <c r="AC175" i="107" a="1"/>
  <c r="AC175" i="107" s="1"/>
  <c r="AB175" i="107" a="1"/>
  <c r="AB175" i="107" s="1"/>
  <c r="AA175" i="107" a="1"/>
  <c r="AA175" i="107" s="1"/>
  <c r="Z175" i="107" a="1"/>
  <c r="Z175" i="107" s="1"/>
  <c r="Y175" i="107" a="1"/>
  <c r="Y175" i="107" s="1"/>
  <c r="X175" i="107" a="1"/>
  <c r="X175" i="107" s="1"/>
  <c r="W175" i="107" a="1"/>
  <c r="W175" i="107" s="1"/>
  <c r="V175" i="107" a="1"/>
  <c r="V175" i="107" s="1"/>
  <c r="U175" i="107" a="1"/>
  <c r="U175" i="107" s="1"/>
  <c r="T175" i="107" a="1"/>
  <c r="T175" i="107" s="1"/>
  <c r="S175" i="107" a="1"/>
  <c r="S175" i="107" s="1"/>
  <c r="R175" i="107" a="1"/>
  <c r="R175" i="107" s="1"/>
  <c r="Q175" i="107" a="1"/>
  <c r="Q175" i="107" s="1"/>
  <c r="P175" i="107" a="1"/>
  <c r="P175" i="107" s="1"/>
  <c r="O175" i="107" a="1"/>
  <c r="O175" i="107" s="1"/>
  <c r="N175" i="107" a="1"/>
  <c r="N175" i="107" s="1"/>
  <c r="M175" i="107" a="1"/>
  <c r="M175" i="107" s="1"/>
  <c r="L175" i="107" a="1"/>
  <c r="L175" i="107" s="1"/>
  <c r="K175" i="107" a="1"/>
  <c r="K175" i="107" s="1"/>
  <c r="J175" i="107" a="1"/>
  <c r="J175" i="107" s="1"/>
  <c r="I175" i="107" a="1"/>
  <c r="I175" i="107" s="1"/>
  <c r="H175" i="107" a="1"/>
  <c r="H175" i="107" s="1"/>
  <c r="G175" i="107" a="1"/>
  <c r="G175" i="107" s="1"/>
  <c r="F175" i="107" a="1"/>
  <c r="F175" i="107" s="1"/>
  <c r="E175" i="107" a="1"/>
  <c r="E175" i="107" s="1"/>
  <c r="D175" i="107" a="1"/>
  <c r="D175" i="107" s="1"/>
  <c r="AH174" i="107" a="1"/>
  <c r="AH174" i="107" s="1"/>
  <c r="AG174" i="107" a="1"/>
  <c r="AG174" i="107" s="1"/>
  <c r="AF174" i="107" a="1"/>
  <c r="AF174" i="107" s="1"/>
  <c r="AE174" i="107" a="1"/>
  <c r="AE174" i="107" s="1"/>
  <c r="AD174" i="107" a="1"/>
  <c r="AD174" i="107" s="1"/>
  <c r="AC174" i="107" a="1"/>
  <c r="AC174" i="107" s="1"/>
  <c r="AB174" i="107" a="1"/>
  <c r="AB174" i="107" s="1"/>
  <c r="AA174" i="107" a="1"/>
  <c r="AA174" i="107" s="1"/>
  <c r="Z174" i="107" a="1"/>
  <c r="Z174" i="107" s="1"/>
  <c r="Y174" i="107" a="1"/>
  <c r="Y174" i="107" s="1"/>
  <c r="X174" i="107" a="1"/>
  <c r="X174" i="107" s="1"/>
  <c r="W174" i="107" a="1"/>
  <c r="W174" i="107" s="1"/>
  <c r="V174" i="107" a="1"/>
  <c r="V174" i="107" s="1"/>
  <c r="U174" i="107" a="1"/>
  <c r="U174" i="107" s="1"/>
  <c r="T174" i="107" a="1"/>
  <c r="T174" i="107" s="1"/>
  <c r="S174" i="107" a="1"/>
  <c r="S174" i="107" s="1"/>
  <c r="R174" i="107" a="1"/>
  <c r="R174" i="107" s="1"/>
  <c r="Q174" i="107" a="1"/>
  <c r="Q174" i="107" s="1"/>
  <c r="P174" i="107" a="1"/>
  <c r="P174" i="107" s="1"/>
  <c r="O174" i="107" a="1"/>
  <c r="O174" i="107" s="1"/>
  <c r="N174" i="107" a="1"/>
  <c r="N174" i="107" s="1"/>
  <c r="M174" i="107" a="1"/>
  <c r="M174" i="107" s="1"/>
  <c r="L174" i="107" a="1"/>
  <c r="L174" i="107" s="1"/>
  <c r="K174" i="107" a="1"/>
  <c r="K174" i="107" s="1"/>
  <c r="J174" i="107" a="1"/>
  <c r="J174" i="107" s="1"/>
  <c r="I174" i="107" a="1"/>
  <c r="I174" i="107" s="1"/>
  <c r="H174" i="107" a="1"/>
  <c r="H174" i="107" s="1"/>
  <c r="G174" i="107" a="1"/>
  <c r="G174" i="107" s="1"/>
  <c r="F174" i="107" a="1"/>
  <c r="F174" i="107" s="1"/>
  <c r="E174" i="107" a="1"/>
  <c r="E174" i="107" s="1"/>
  <c r="D174" i="107" a="1"/>
  <c r="D174" i="107" s="1"/>
  <c r="AH173" i="107" a="1"/>
  <c r="AH173" i="107" s="1"/>
  <c r="AG173" i="107" a="1"/>
  <c r="AG173" i="107" s="1"/>
  <c r="AF173" i="107" a="1"/>
  <c r="AF173" i="107" s="1"/>
  <c r="AE173" i="107" a="1"/>
  <c r="AE173" i="107" s="1"/>
  <c r="AD173" i="107" a="1"/>
  <c r="AD173" i="107" s="1"/>
  <c r="AC173" i="107" a="1"/>
  <c r="AC173" i="107" s="1"/>
  <c r="AB173" i="107" a="1"/>
  <c r="AB173" i="107" s="1"/>
  <c r="AA173" i="107" a="1"/>
  <c r="AA173" i="107" s="1"/>
  <c r="Z173" i="107" a="1"/>
  <c r="Z173" i="107" s="1"/>
  <c r="Y173" i="107" a="1"/>
  <c r="Y173" i="107" s="1"/>
  <c r="X173" i="107" a="1"/>
  <c r="X173" i="107" s="1"/>
  <c r="W173" i="107" a="1"/>
  <c r="W173" i="107" s="1"/>
  <c r="V173" i="107" a="1"/>
  <c r="V173" i="107" s="1"/>
  <c r="U173" i="107" a="1"/>
  <c r="U173" i="107" s="1"/>
  <c r="T173" i="107" a="1"/>
  <c r="T173" i="107" s="1"/>
  <c r="S173" i="107" a="1"/>
  <c r="S173" i="107" s="1"/>
  <c r="R173" i="107" a="1"/>
  <c r="R173" i="107" s="1"/>
  <c r="Q173" i="107" a="1"/>
  <c r="Q173" i="107" s="1"/>
  <c r="P173" i="107" a="1"/>
  <c r="P173" i="107" s="1"/>
  <c r="O173" i="107" a="1"/>
  <c r="O173" i="107" s="1"/>
  <c r="N173" i="107" a="1"/>
  <c r="N173" i="107" s="1"/>
  <c r="M173" i="107" a="1"/>
  <c r="M173" i="107" s="1"/>
  <c r="L173" i="107" a="1"/>
  <c r="L173" i="107" s="1"/>
  <c r="K173" i="107" a="1"/>
  <c r="K173" i="107" s="1"/>
  <c r="J173" i="107" a="1"/>
  <c r="J173" i="107" s="1"/>
  <c r="I173" i="107" a="1"/>
  <c r="I173" i="107" s="1"/>
  <c r="H173" i="107" a="1"/>
  <c r="H173" i="107" s="1"/>
  <c r="G173" i="107" a="1"/>
  <c r="G173" i="107" s="1"/>
  <c r="F173" i="107" a="1"/>
  <c r="F173" i="107" s="1"/>
  <c r="E173" i="107" a="1"/>
  <c r="E173" i="107" s="1"/>
  <c r="D173" i="107" a="1"/>
  <c r="D173" i="107" s="1"/>
  <c r="AH172" i="107" a="1"/>
  <c r="AH172" i="107" s="1"/>
  <c r="AG172" i="107" a="1"/>
  <c r="AG172" i="107" s="1"/>
  <c r="AF172" i="107" a="1"/>
  <c r="AF172" i="107" s="1"/>
  <c r="AE172" i="107" a="1"/>
  <c r="AE172" i="107" s="1"/>
  <c r="AD172" i="107" a="1"/>
  <c r="AD172" i="107" s="1"/>
  <c r="AC172" i="107" a="1"/>
  <c r="AC172" i="107" s="1"/>
  <c r="AB172" i="107" a="1"/>
  <c r="AB172" i="107" s="1"/>
  <c r="AA172" i="107" a="1"/>
  <c r="AA172" i="107" s="1"/>
  <c r="Z172" i="107" a="1"/>
  <c r="Z172" i="107" s="1"/>
  <c r="Y172" i="107" a="1"/>
  <c r="Y172" i="107" s="1"/>
  <c r="X172" i="107" a="1"/>
  <c r="X172" i="107" s="1"/>
  <c r="W172" i="107" a="1"/>
  <c r="W172" i="107" s="1"/>
  <c r="V172" i="107" a="1"/>
  <c r="V172" i="107" s="1"/>
  <c r="U172" i="107" a="1"/>
  <c r="U172" i="107" s="1"/>
  <c r="T172" i="107" a="1"/>
  <c r="T172" i="107" s="1"/>
  <c r="S172" i="107" a="1"/>
  <c r="S172" i="107" s="1"/>
  <c r="R172" i="107" a="1"/>
  <c r="R172" i="107" s="1"/>
  <c r="Q172" i="107" a="1"/>
  <c r="Q172" i="107" s="1"/>
  <c r="P172" i="107" a="1"/>
  <c r="P172" i="107" s="1"/>
  <c r="O172" i="107" a="1"/>
  <c r="O172" i="107" s="1"/>
  <c r="N172" i="107" a="1"/>
  <c r="N172" i="107" s="1"/>
  <c r="M172" i="107" a="1"/>
  <c r="M172" i="107" s="1"/>
  <c r="L172" i="107" a="1"/>
  <c r="L172" i="107" s="1"/>
  <c r="K172" i="107" a="1"/>
  <c r="K172" i="107" s="1"/>
  <c r="J172" i="107" a="1"/>
  <c r="J172" i="107" s="1"/>
  <c r="I172" i="107" a="1"/>
  <c r="I172" i="107" s="1"/>
  <c r="H172" i="107" a="1"/>
  <c r="H172" i="107" s="1"/>
  <c r="G172" i="107" a="1"/>
  <c r="G172" i="107" s="1"/>
  <c r="F172" i="107" a="1"/>
  <c r="F172" i="107" s="1"/>
  <c r="E172" i="107" a="1"/>
  <c r="E172" i="107" s="1"/>
  <c r="D172" i="107" a="1"/>
  <c r="D172" i="107" s="1"/>
  <c r="AH171" i="107" a="1"/>
  <c r="AH171" i="107" s="1"/>
  <c r="AG171" i="107" a="1"/>
  <c r="AG171" i="107" s="1"/>
  <c r="AF171" i="107" a="1"/>
  <c r="AF171" i="107" s="1"/>
  <c r="AE171" i="107" a="1"/>
  <c r="AE171" i="107" s="1"/>
  <c r="AD171" i="107" a="1"/>
  <c r="AD171" i="107" s="1"/>
  <c r="AC171" i="107" a="1"/>
  <c r="AC171" i="107" s="1"/>
  <c r="AB171" i="107" a="1"/>
  <c r="AB171" i="107" s="1"/>
  <c r="AA171" i="107" a="1"/>
  <c r="AA171" i="107" s="1"/>
  <c r="Z171" i="107" a="1"/>
  <c r="Z171" i="107" s="1"/>
  <c r="Y171" i="107" a="1"/>
  <c r="Y171" i="107" s="1"/>
  <c r="X171" i="107" a="1"/>
  <c r="X171" i="107" s="1"/>
  <c r="W171" i="107" a="1"/>
  <c r="W171" i="107" s="1"/>
  <c r="V171" i="107" a="1"/>
  <c r="V171" i="107" s="1"/>
  <c r="U171" i="107" a="1"/>
  <c r="U171" i="107" s="1"/>
  <c r="T171" i="107" a="1"/>
  <c r="T171" i="107" s="1"/>
  <c r="S171" i="107" a="1"/>
  <c r="S171" i="107" s="1"/>
  <c r="R171" i="107" a="1"/>
  <c r="R171" i="107" s="1"/>
  <c r="Q171" i="107" a="1"/>
  <c r="Q171" i="107" s="1"/>
  <c r="P171" i="107" a="1"/>
  <c r="P171" i="107" s="1"/>
  <c r="O171" i="107" a="1"/>
  <c r="O171" i="107" s="1"/>
  <c r="N171" i="107" a="1"/>
  <c r="N171" i="107" s="1"/>
  <c r="M171" i="107" a="1"/>
  <c r="M171" i="107" s="1"/>
  <c r="L171" i="107" a="1"/>
  <c r="L171" i="107" s="1"/>
  <c r="K171" i="107" a="1"/>
  <c r="K171" i="107" s="1"/>
  <c r="J171" i="107" a="1"/>
  <c r="J171" i="107" s="1"/>
  <c r="I171" i="107" a="1"/>
  <c r="I171" i="107" s="1"/>
  <c r="H171" i="107" a="1"/>
  <c r="H171" i="107" s="1"/>
  <c r="G171" i="107" a="1"/>
  <c r="G171" i="107" s="1"/>
  <c r="F171" i="107" a="1"/>
  <c r="F171" i="107" s="1"/>
  <c r="E171" i="107" a="1"/>
  <c r="E171" i="107" s="1"/>
  <c r="D171" i="107" a="1"/>
  <c r="D171" i="107" s="1"/>
  <c r="AH170" i="107" a="1"/>
  <c r="AH170" i="107" s="1"/>
  <c r="AG170" i="107" a="1"/>
  <c r="AG170" i="107" s="1"/>
  <c r="AF170" i="107" a="1"/>
  <c r="AF170" i="107" s="1"/>
  <c r="AE170" i="107" a="1"/>
  <c r="AE170" i="107" s="1"/>
  <c r="AD170" i="107" a="1"/>
  <c r="AD170" i="107" s="1"/>
  <c r="AC170" i="107" a="1"/>
  <c r="AC170" i="107" s="1"/>
  <c r="AB170" i="107" a="1"/>
  <c r="AB170" i="107" s="1"/>
  <c r="AA170" i="107" a="1"/>
  <c r="AA170" i="107" s="1"/>
  <c r="Z170" i="107" a="1"/>
  <c r="Z170" i="107" s="1"/>
  <c r="Y170" i="107" a="1"/>
  <c r="Y170" i="107" s="1"/>
  <c r="X170" i="107" a="1"/>
  <c r="X170" i="107" s="1"/>
  <c r="W170" i="107" a="1"/>
  <c r="W170" i="107" s="1"/>
  <c r="V170" i="107" a="1"/>
  <c r="V170" i="107" s="1"/>
  <c r="U170" i="107" a="1"/>
  <c r="U170" i="107" s="1"/>
  <c r="T170" i="107" a="1"/>
  <c r="T170" i="107" s="1"/>
  <c r="S170" i="107" a="1"/>
  <c r="S170" i="107" s="1"/>
  <c r="R170" i="107" a="1"/>
  <c r="R170" i="107" s="1"/>
  <c r="Q170" i="107" a="1"/>
  <c r="Q170" i="107" s="1"/>
  <c r="P170" i="107" a="1"/>
  <c r="P170" i="107" s="1"/>
  <c r="O170" i="107" a="1"/>
  <c r="O170" i="107" s="1"/>
  <c r="N170" i="107" a="1"/>
  <c r="N170" i="107" s="1"/>
  <c r="M170" i="107" a="1"/>
  <c r="M170" i="107" s="1"/>
  <c r="L170" i="107" a="1"/>
  <c r="L170" i="107" s="1"/>
  <c r="K170" i="107" a="1"/>
  <c r="K170" i="107" s="1"/>
  <c r="J170" i="107" a="1"/>
  <c r="J170" i="107" s="1"/>
  <c r="I170" i="107" a="1"/>
  <c r="I170" i="107" s="1"/>
  <c r="H170" i="107" a="1"/>
  <c r="H170" i="107" s="1"/>
  <c r="G170" i="107" a="1"/>
  <c r="G170" i="107" s="1"/>
  <c r="F170" i="107" a="1"/>
  <c r="F170" i="107" s="1"/>
  <c r="E170" i="107" a="1"/>
  <c r="E170" i="107" s="1"/>
  <c r="D170" i="107" a="1"/>
  <c r="D170" i="107" s="1"/>
  <c r="AH169" i="107" a="1"/>
  <c r="AH169" i="107" s="1"/>
  <c r="AG169" i="107" a="1"/>
  <c r="AG169" i="107" s="1"/>
  <c r="AF169" i="107" a="1"/>
  <c r="AF169" i="107" s="1"/>
  <c r="AE169" i="107" a="1"/>
  <c r="AE169" i="107" s="1"/>
  <c r="AD169" i="107" a="1"/>
  <c r="AD169" i="107" s="1"/>
  <c r="AC169" i="107" a="1"/>
  <c r="AC169" i="107" s="1"/>
  <c r="AB169" i="107" a="1"/>
  <c r="AB169" i="107" s="1"/>
  <c r="AA169" i="107" a="1"/>
  <c r="AA169" i="107" s="1"/>
  <c r="Z169" i="107" a="1"/>
  <c r="Z169" i="107" s="1"/>
  <c r="Y169" i="107" a="1"/>
  <c r="Y169" i="107" s="1"/>
  <c r="X169" i="107" a="1"/>
  <c r="X169" i="107" s="1"/>
  <c r="W169" i="107" a="1"/>
  <c r="W169" i="107" s="1"/>
  <c r="V169" i="107" a="1"/>
  <c r="V169" i="107" s="1"/>
  <c r="U169" i="107" a="1"/>
  <c r="U169" i="107" s="1"/>
  <c r="T169" i="107" a="1"/>
  <c r="T169" i="107" s="1"/>
  <c r="S169" i="107" a="1"/>
  <c r="S169" i="107" s="1"/>
  <c r="R169" i="107" a="1"/>
  <c r="R169" i="107" s="1"/>
  <c r="Q169" i="107" a="1"/>
  <c r="Q169" i="107" s="1"/>
  <c r="P169" i="107" a="1"/>
  <c r="P169" i="107" s="1"/>
  <c r="O169" i="107" a="1"/>
  <c r="O169" i="107" s="1"/>
  <c r="N169" i="107" a="1"/>
  <c r="N169" i="107" s="1"/>
  <c r="M169" i="107" a="1"/>
  <c r="M169" i="107" s="1"/>
  <c r="L169" i="107" a="1"/>
  <c r="L169" i="107" s="1"/>
  <c r="K169" i="107" a="1"/>
  <c r="K169" i="107" s="1"/>
  <c r="J169" i="107" a="1"/>
  <c r="J169" i="107" s="1"/>
  <c r="I169" i="107" a="1"/>
  <c r="I169" i="107" s="1"/>
  <c r="H169" i="107" a="1"/>
  <c r="H169" i="107" s="1"/>
  <c r="G169" i="107" a="1"/>
  <c r="G169" i="107" s="1"/>
  <c r="F169" i="107" a="1"/>
  <c r="F169" i="107" s="1"/>
  <c r="E169" i="107" a="1"/>
  <c r="E169" i="107" s="1"/>
  <c r="D169" i="107" a="1"/>
  <c r="D169" i="107" s="1"/>
  <c r="AH168" i="107" a="1"/>
  <c r="AH168" i="107" s="1"/>
  <c r="AG168" i="107" a="1"/>
  <c r="AG168" i="107" s="1"/>
  <c r="AF168" i="107" a="1"/>
  <c r="AF168" i="107" s="1"/>
  <c r="AE168" i="107" a="1"/>
  <c r="AE168" i="107" s="1"/>
  <c r="AD168" i="107" a="1"/>
  <c r="AD168" i="107" s="1"/>
  <c r="AC168" i="107" a="1"/>
  <c r="AC168" i="107" s="1"/>
  <c r="AB168" i="107" a="1"/>
  <c r="AB168" i="107" s="1"/>
  <c r="AA168" i="107" a="1"/>
  <c r="AA168" i="107" s="1"/>
  <c r="Z168" i="107" a="1"/>
  <c r="Z168" i="107" s="1"/>
  <c r="Y168" i="107" a="1"/>
  <c r="Y168" i="107" s="1"/>
  <c r="X168" i="107" a="1"/>
  <c r="X168" i="107" s="1"/>
  <c r="W168" i="107" a="1"/>
  <c r="W168" i="107" s="1"/>
  <c r="V168" i="107" a="1"/>
  <c r="V168" i="107" s="1"/>
  <c r="U168" i="107" a="1"/>
  <c r="U168" i="107" s="1"/>
  <c r="T168" i="107" a="1"/>
  <c r="T168" i="107" s="1"/>
  <c r="S168" i="107" a="1"/>
  <c r="S168" i="107" s="1"/>
  <c r="R168" i="107" a="1"/>
  <c r="R168" i="107" s="1"/>
  <c r="Q168" i="107" a="1"/>
  <c r="Q168" i="107" s="1"/>
  <c r="P168" i="107" a="1"/>
  <c r="P168" i="107" s="1"/>
  <c r="O168" i="107" a="1"/>
  <c r="O168" i="107" s="1"/>
  <c r="N168" i="107" a="1"/>
  <c r="N168" i="107" s="1"/>
  <c r="M168" i="107" a="1"/>
  <c r="M168" i="107" s="1"/>
  <c r="L168" i="107" a="1"/>
  <c r="L168" i="107" s="1"/>
  <c r="K168" i="107" a="1"/>
  <c r="K168" i="107" s="1"/>
  <c r="J168" i="107" a="1"/>
  <c r="J168" i="107" s="1"/>
  <c r="I168" i="107" a="1"/>
  <c r="I168" i="107" s="1"/>
  <c r="H168" i="107" a="1"/>
  <c r="H168" i="107" s="1"/>
  <c r="G168" i="107" a="1"/>
  <c r="G168" i="107" s="1"/>
  <c r="F168" i="107" a="1"/>
  <c r="F168" i="107" s="1"/>
  <c r="E168" i="107" a="1"/>
  <c r="E168" i="107" s="1"/>
  <c r="D168" i="107" a="1"/>
  <c r="D168" i="107" s="1"/>
  <c r="AH167" i="107" a="1"/>
  <c r="AH167" i="107" s="1"/>
  <c r="AG167" i="107" a="1"/>
  <c r="AG167" i="107" s="1"/>
  <c r="AF167" i="107" a="1"/>
  <c r="AF167" i="107" s="1"/>
  <c r="AE167" i="107" a="1"/>
  <c r="AE167" i="107" s="1"/>
  <c r="AD167" i="107" a="1"/>
  <c r="AD167" i="107" s="1"/>
  <c r="AC167" i="107" a="1"/>
  <c r="AC167" i="107" s="1"/>
  <c r="AB167" i="107" a="1"/>
  <c r="AB167" i="107" s="1"/>
  <c r="AA167" i="107" a="1"/>
  <c r="AA167" i="107" s="1"/>
  <c r="Z167" i="107" a="1"/>
  <c r="Z167" i="107" s="1"/>
  <c r="Y167" i="107" a="1"/>
  <c r="Y167" i="107" s="1"/>
  <c r="X167" i="107" a="1"/>
  <c r="X167" i="107" s="1"/>
  <c r="W167" i="107" a="1"/>
  <c r="W167" i="107" s="1"/>
  <c r="V167" i="107" a="1"/>
  <c r="V167" i="107" s="1"/>
  <c r="U167" i="107" a="1"/>
  <c r="U167" i="107" s="1"/>
  <c r="T167" i="107" a="1"/>
  <c r="T167" i="107" s="1"/>
  <c r="S167" i="107" a="1"/>
  <c r="S167" i="107" s="1"/>
  <c r="R167" i="107" a="1"/>
  <c r="R167" i="107" s="1"/>
  <c r="Q167" i="107" a="1"/>
  <c r="Q167" i="107" s="1"/>
  <c r="P167" i="107" a="1"/>
  <c r="P167" i="107" s="1"/>
  <c r="O167" i="107" a="1"/>
  <c r="O167" i="107" s="1"/>
  <c r="N167" i="107" a="1"/>
  <c r="N167" i="107" s="1"/>
  <c r="M167" i="107" a="1"/>
  <c r="M167" i="107" s="1"/>
  <c r="L167" i="107" a="1"/>
  <c r="L167" i="107" s="1"/>
  <c r="K167" i="107" a="1"/>
  <c r="K167" i="107" s="1"/>
  <c r="J167" i="107" a="1"/>
  <c r="J167" i="107" s="1"/>
  <c r="I167" i="107" a="1"/>
  <c r="I167" i="107" s="1"/>
  <c r="H167" i="107" a="1"/>
  <c r="H167" i="107" s="1"/>
  <c r="G167" i="107" a="1"/>
  <c r="G167" i="107" s="1"/>
  <c r="F167" i="107" a="1"/>
  <c r="F167" i="107" s="1"/>
  <c r="E167" i="107" a="1"/>
  <c r="E167" i="107" s="1"/>
  <c r="D167" i="107" a="1"/>
  <c r="D167" i="107" s="1"/>
  <c r="AH166" i="107" a="1"/>
  <c r="AH166" i="107" s="1"/>
  <c r="AG166" i="107" a="1"/>
  <c r="AG166" i="107" s="1"/>
  <c r="AF166" i="107" a="1"/>
  <c r="AF166" i="107" s="1"/>
  <c r="AE166" i="107" a="1"/>
  <c r="AE166" i="107" s="1"/>
  <c r="AD166" i="107" a="1"/>
  <c r="AD166" i="107" s="1"/>
  <c r="AC166" i="107" a="1"/>
  <c r="AC166" i="107" s="1"/>
  <c r="AB166" i="107" a="1"/>
  <c r="AB166" i="107" s="1"/>
  <c r="AA166" i="107" a="1"/>
  <c r="AA166" i="107" s="1"/>
  <c r="Z166" i="107" a="1"/>
  <c r="Z166" i="107" s="1"/>
  <c r="Y166" i="107" a="1"/>
  <c r="Y166" i="107" s="1"/>
  <c r="X166" i="107" a="1"/>
  <c r="X166" i="107" s="1"/>
  <c r="W166" i="107" a="1"/>
  <c r="W166" i="107" s="1"/>
  <c r="V166" i="107" a="1"/>
  <c r="V166" i="107" s="1"/>
  <c r="U166" i="107" a="1"/>
  <c r="U166" i="107" s="1"/>
  <c r="T166" i="107" a="1"/>
  <c r="T166" i="107" s="1"/>
  <c r="S166" i="107" a="1"/>
  <c r="S166" i="107" s="1"/>
  <c r="R166" i="107" a="1"/>
  <c r="R166" i="107" s="1"/>
  <c r="Q166" i="107" a="1"/>
  <c r="Q166" i="107" s="1"/>
  <c r="P166" i="107" a="1"/>
  <c r="P166" i="107" s="1"/>
  <c r="O166" i="107" a="1"/>
  <c r="O166" i="107" s="1"/>
  <c r="N166" i="107" a="1"/>
  <c r="N166" i="107" s="1"/>
  <c r="M166" i="107" a="1"/>
  <c r="M166" i="107" s="1"/>
  <c r="L166" i="107" a="1"/>
  <c r="L166" i="107" s="1"/>
  <c r="K166" i="107" a="1"/>
  <c r="K166" i="107" s="1"/>
  <c r="J166" i="107" a="1"/>
  <c r="J166" i="107" s="1"/>
  <c r="I166" i="107" a="1"/>
  <c r="I166" i="107" s="1"/>
  <c r="H166" i="107" a="1"/>
  <c r="H166" i="107" s="1"/>
  <c r="G166" i="107" a="1"/>
  <c r="G166" i="107" s="1"/>
  <c r="F166" i="107" a="1"/>
  <c r="F166" i="107" s="1"/>
  <c r="E166" i="107" a="1"/>
  <c r="E166" i="107" s="1"/>
  <c r="D166" i="107" a="1"/>
  <c r="D166" i="107" s="1"/>
  <c r="AH165" i="107" a="1"/>
  <c r="AH165" i="107" s="1"/>
  <c r="AG165" i="107" a="1"/>
  <c r="AG165" i="107" s="1"/>
  <c r="AF165" i="107" a="1"/>
  <c r="AF165" i="107" s="1"/>
  <c r="AE165" i="107" a="1"/>
  <c r="AE165" i="107" s="1"/>
  <c r="AD165" i="107" a="1"/>
  <c r="AD165" i="107" s="1"/>
  <c r="AC165" i="107" a="1"/>
  <c r="AC165" i="107" s="1"/>
  <c r="AB165" i="107" a="1"/>
  <c r="AB165" i="107" s="1"/>
  <c r="AA165" i="107" a="1"/>
  <c r="AA165" i="107" s="1"/>
  <c r="Z165" i="107" a="1"/>
  <c r="Z165" i="107" s="1"/>
  <c r="Y165" i="107" a="1"/>
  <c r="Y165" i="107" s="1"/>
  <c r="X165" i="107" a="1"/>
  <c r="X165" i="107" s="1"/>
  <c r="W165" i="107" a="1"/>
  <c r="W165" i="107" s="1"/>
  <c r="V165" i="107" a="1"/>
  <c r="V165" i="107" s="1"/>
  <c r="U165" i="107" a="1"/>
  <c r="U165" i="107" s="1"/>
  <c r="T165" i="107" a="1"/>
  <c r="T165" i="107" s="1"/>
  <c r="S165" i="107" a="1"/>
  <c r="S165" i="107" s="1"/>
  <c r="R165" i="107" a="1"/>
  <c r="R165" i="107" s="1"/>
  <c r="Q165" i="107" a="1"/>
  <c r="Q165" i="107" s="1"/>
  <c r="P165" i="107" a="1"/>
  <c r="P165" i="107" s="1"/>
  <c r="O165" i="107" a="1"/>
  <c r="O165" i="107" s="1"/>
  <c r="N165" i="107" a="1"/>
  <c r="N165" i="107" s="1"/>
  <c r="M165" i="107" a="1"/>
  <c r="M165" i="107" s="1"/>
  <c r="L165" i="107" a="1"/>
  <c r="L165" i="107" s="1"/>
  <c r="K165" i="107" a="1"/>
  <c r="K165" i="107" s="1"/>
  <c r="J165" i="107" a="1"/>
  <c r="J165" i="107" s="1"/>
  <c r="I165" i="107" a="1"/>
  <c r="I165" i="107" s="1"/>
  <c r="H165" i="107" a="1"/>
  <c r="H165" i="107" s="1"/>
  <c r="G165" i="107" a="1"/>
  <c r="G165" i="107" s="1"/>
  <c r="F165" i="107" a="1"/>
  <c r="F165" i="107" s="1"/>
  <c r="E165" i="107" a="1"/>
  <c r="E165" i="107" s="1"/>
  <c r="D165" i="107" a="1"/>
  <c r="D165" i="107" s="1"/>
  <c r="AH164" i="107" a="1"/>
  <c r="AH164" i="107" s="1"/>
  <c r="AG164" i="107" a="1"/>
  <c r="AG164" i="107" s="1"/>
  <c r="AF164" i="107" a="1"/>
  <c r="AF164" i="107" s="1"/>
  <c r="AE164" i="107" a="1"/>
  <c r="AE164" i="107" s="1"/>
  <c r="AD164" i="107" a="1"/>
  <c r="AD164" i="107" s="1"/>
  <c r="AC164" i="107" a="1"/>
  <c r="AC164" i="107" s="1"/>
  <c r="AB164" i="107" a="1"/>
  <c r="AB164" i="107" s="1"/>
  <c r="AA164" i="107" a="1"/>
  <c r="AA164" i="107" s="1"/>
  <c r="Z164" i="107" a="1"/>
  <c r="Z164" i="107" s="1"/>
  <c r="Y164" i="107" a="1"/>
  <c r="Y164" i="107" s="1"/>
  <c r="X164" i="107" a="1"/>
  <c r="X164" i="107" s="1"/>
  <c r="W164" i="107" a="1"/>
  <c r="W164" i="107" s="1"/>
  <c r="V164" i="107" a="1"/>
  <c r="V164" i="107" s="1"/>
  <c r="U164" i="107" a="1"/>
  <c r="U164" i="107" s="1"/>
  <c r="T164" i="107" a="1"/>
  <c r="T164" i="107" s="1"/>
  <c r="S164" i="107" a="1"/>
  <c r="S164" i="107" s="1"/>
  <c r="R164" i="107" a="1"/>
  <c r="R164" i="107" s="1"/>
  <c r="Q164" i="107" a="1"/>
  <c r="Q164" i="107" s="1"/>
  <c r="P164" i="107" a="1"/>
  <c r="P164" i="107" s="1"/>
  <c r="O164" i="107" a="1"/>
  <c r="O164" i="107" s="1"/>
  <c r="N164" i="107" a="1"/>
  <c r="N164" i="107" s="1"/>
  <c r="M164" i="107" a="1"/>
  <c r="M164" i="107" s="1"/>
  <c r="L164" i="107" a="1"/>
  <c r="L164" i="107" s="1"/>
  <c r="K164" i="107" a="1"/>
  <c r="K164" i="107" s="1"/>
  <c r="J164" i="107" a="1"/>
  <c r="J164" i="107" s="1"/>
  <c r="I164" i="107" a="1"/>
  <c r="I164" i="107" s="1"/>
  <c r="H164" i="107" a="1"/>
  <c r="H164" i="107" s="1"/>
  <c r="G164" i="107" a="1"/>
  <c r="G164" i="107" s="1"/>
  <c r="F164" i="107" a="1"/>
  <c r="F164" i="107" s="1"/>
  <c r="E164" i="107" a="1"/>
  <c r="E164" i="107" s="1"/>
  <c r="D164" i="107" a="1"/>
  <c r="D164" i="107" s="1"/>
  <c r="AH163" i="107" a="1"/>
  <c r="AH163" i="107" s="1"/>
  <c r="AG163" i="107" a="1"/>
  <c r="AG163" i="107" s="1"/>
  <c r="AF163" i="107" a="1"/>
  <c r="AF163" i="107" s="1"/>
  <c r="AE163" i="107" a="1"/>
  <c r="AE163" i="107" s="1"/>
  <c r="AD163" i="107" a="1"/>
  <c r="AD163" i="107" s="1"/>
  <c r="AC163" i="107" a="1"/>
  <c r="AC163" i="107" s="1"/>
  <c r="AB163" i="107" a="1"/>
  <c r="AB163" i="107" s="1"/>
  <c r="AA163" i="107" a="1"/>
  <c r="AA163" i="107" s="1"/>
  <c r="Z163" i="107" a="1"/>
  <c r="Z163" i="107" s="1"/>
  <c r="Y163" i="107" a="1"/>
  <c r="Y163" i="107" s="1"/>
  <c r="X163" i="107" a="1"/>
  <c r="X163" i="107" s="1"/>
  <c r="W163" i="107" a="1"/>
  <c r="W163" i="107" s="1"/>
  <c r="V163" i="107" a="1"/>
  <c r="V163" i="107" s="1"/>
  <c r="U163" i="107" a="1"/>
  <c r="U163" i="107" s="1"/>
  <c r="T163" i="107" a="1"/>
  <c r="T163" i="107" s="1"/>
  <c r="S163" i="107" a="1"/>
  <c r="S163" i="107" s="1"/>
  <c r="R163" i="107" a="1"/>
  <c r="R163" i="107" s="1"/>
  <c r="Q163" i="107" a="1"/>
  <c r="Q163" i="107" s="1"/>
  <c r="P163" i="107" a="1"/>
  <c r="P163" i="107" s="1"/>
  <c r="O163" i="107" a="1"/>
  <c r="O163" i="107" s="1"/>
  <c r="N163" i="107" a="1"/>
  <c r="N163" i="107" s="1"/>
  <c r="M163" i="107" a="1"/>
  <c r="M163" i="107" s="1"/>
  <c r="L163" i="107" a="1"/>
  <c r="L163" i="107" s="1"/>
  <c r="K163" i="107" a="1"/>
  <c r="K163" i="107" s="1"/>
  <c r="J163" i="107" a="1"/>
  <c r="J163" i="107" s="1"/>
  <c r="I163" i="107" a="1"/>
  <c r="I163" i="107" s="1"/>
  <c r="H163" i="107" a="1"/>
  <c r="H163" i="107" s="1"/>
  <c r="G163" i="107" a="1"/>
  <c r="G163" i="107" s="1"/>
  <c r="F163" i="107" a="1"/>
  <c r="F163" i="107" s="1"/>
  <c r="E163" i="107" a="1"/>
  <c r="E163" i="107" s="1"/>
  <c r="D163" i="107" a="1"/>
  <c r="D163" i="107" s="1"/>
  <c r="AH162" i="107" a="1"/>
  <c r="AH162" i="107" s="1"/>
  <c r="AG162" i="107" a="1"/>
  <c r="AG162" i="107" s="1"/>
  <c r="AF162" i="107" a="1"/>
  <c r="AF162" i="107" s="1"/>
  <c r="AE162" i="107" a="1"/>
  <c r="AE162" i="107" s="1"/>
  <c r="AD162" i="107" a="1"/>
  <c r="AD162" i="107" s="1"/>
  <c r="AC162" i="107" a="1"/>
  <c r="AC162" i="107" s="1"/>
  <c r="AB162" i="107" a="1"/>
  <c r="AB162" i="107" s="1"/>
  <c r="AA162" i="107" a="1"/>
  <c r="AA162" i="107" s="1"/>
  <c r="Z162" i="107" a="1"/>
  <c r="Z162" i="107" s="1"/>
  <c r="Y162" i="107" a="1"/>
  <c r="Y162" i="107" s="1"/>
  <c r="X162" i="107" a="1"/>
  <c r="X162" i="107" s="1"/>
  <c r="W162" i="107" a="1"/>
  <c r="W162" i="107" s="1"/>
  <c r="V162" i="107" a="1"/>
  <c r="V162" i="107" s="1"/>
  <c r="U162" i="107" a="1"/>
  <c r="U162" i="107" s="1"/>
  <c r="T162" i="107" a="1"/>
  <c r="T162" i="107" s="1"/>
  <c r="S162" i="107" a="1"/>
  <c r="S162" i="107" s="1"/>
  <c r="R162" i="107" a="1"/>
  <c r="R162" i="107" s="1"/>
  <c r="Q162" i="107" a="1"/>
  <c r="Q162" i="107" s="1"/>
  <c r="P162" i="107" a="1"/>
  <c r="P162" i="107" s="1"/>
  <c r="O162" i="107" a="1"/>
  <c r="O162" i="107" s="1"/>
  <c r="N162" i="107" a="1"/>
  <c r="N162" i="107" s="1"/>
  <c r="M162" i="107" a="1"/>
  <c r="M162" i="107" s="1"/>
  <c r="L162" i="107" a="1"/>
  <c r="L162" i="107" s="1"/>
  <c r="K162" i="107" a="1"/>
  <c r="K162" i="107" s="1"/>
  <c r="J162" i="107" a="1"/>
  <c r="J162" i="107" s="1"/>
  <c r="I162" i="107" a="1"/>
  <c r="I162" i="107" s="1"/>
  <c r="H162" i="107" a="1"/>
  <c r="H162" i="107" s="1"/>
  <c r="G162" i="107" a="1"/>
  <c r="G162" i="107" s="1"/>
  <c r="F162" i="107" a="1"/>
  <c r="F162" i="107" s="1"/>
  <c r="E162" i="107" a="1"/>
  <c r="E162" i="107" s="1"/>
  <c r="D162" i="107" a="1"/>
  <c r="D162" i="107" s="1"/>
  <c r="AH161" i="107" a="1"/>
  <c r="AH161" i="107" s="1"/>
  <c r="AG161" i="107" a="1"/>
  <c r="AG161" i="107" s="1"/>
  <c r="AF161" i="107" a="1"/>
  <c r="AF161" i="107" s="1"/>
  <c r="AE161" i="107" a="1"/>
  <c r="AE161" i="107" s="1"/>
  <c r="AD161" i="107" a="1"/>
  <c r="AD161" i="107" s="1"/>
  <c r="AC161" i="107" a="1"/>
  <c r="AC161" i="107" s="1"/>
  <c r="AB161" i="107" a="1"/>
  <c r="AB161" i="107" s="1"/>
  <c r="AA161" i="107" a="1"/>
  <c r="AA161" i="107" s="1"/>
  <c r="Z161" i="107" a="1"/>
  <c r="Z161" i="107" s="1"/>
  <c r="Y161" i="107" a="1"/>
  <c r="Y161" i="107" s="1"/>
  <c r="X161" i="107" a="1"/>
  <c r="X161" i="107" s="1"/>
  <c r="W161" i="107" a="1"/>
  <c r="W161" i="107" s="1"/>
  <c r="V161" i="107" a="1"/>
  <c r="V161" i="107" s="1"/>
  <c r="U161" i="107" a="1"/>
  <c r="U161" i="107" s="1"/>
  <c r="T161" i="107" a="1"/>
  <c r="T161" i="107" s="1"/>
  <c r="S161" i="107" a="1"/>
  <c r="S161" i="107" s="1"/>
  <c r="R161" i="107" a="1"/>
  <c r="R161" i="107" s="1"/>
  <c r="Q161" i="107" a="1"/>
  <c r="Q161" i="107" s="1"/>
  <c r="P161" i="107" a="1"/>
  <c r="P161" i="107" s="1"/>
  <c r="O161" i="107" a="1"/>
  <c r="O161" i="107" s="1"/>
  <c r="N161" i="107" a="1"/>
  <c r="N161" i="107" s="1"/>
  <c r="M161" i="107" a="1"/>
  <c r="M161" i="107" s="1"/>
  <c r="L161" i="107" a="1"/>
  <c r="L161" i="107" s="1"/>
  <c r="K161" i="107" a="1"/>
  <c r="K161" i="107" s="1"/>
  <c r="J161" i="107" a="1"/>
  <c r="J161" i="107" s="1"/>
  <c r="I161" i="107" a="1"/>
  <c r="I161" i="107" s="1"/>
  <c r="H161" i="107" a="1"/>
  <c r="H161" i="107" s="1"/>
  <c r="G161" i="107" a="1"/>
  <c r="G161" i="107" s="1"/>
  <c r="F161" i="107" a="1"/>
  <c r="F161" i="107" s="1"/>
  <c r="E161" i="107" a="1"/>
  <c r="E161" i="107" s="1"/>
  <c r="D161" i="107" a="1"/>
  <c r="D161" i="107" s="1"/>
  <c r="AH160" i="107" a="1"/>
  <c r="AH160" i="107" s="1"/>
  <c r="AG160" i="107" a="1"/>
  <c r="AG160" i="107" s="1"/>
  <c r="AF160" i="107" a="1"/>
  <c r="AF160" i="107" s="1"/>
  <c r="AE160" i="107" a="1"/>
  <c r="AE160" i="107" s="1"/>
  <c r="AD160" i="107" a="1"/>
  <c r="AD160" i="107" s="1"/>
  <c r="AC160" i="107" a="1"/>
  <c r="AC160" i="107" s="1"/>
  <c r="AB160" i="107" a="1"/>
  <c r="AB160" i="107" s="1"/>
  <c r="AA160" i="107" a="1"/>
  <c r="AA160" i="107" s="1"/>
  <c r="Z160" i="107" a="1"/>
  <c r="Z160" i="107" s="1"/>
  <c r="Y160" i="107" a="1"/>
  <c r="Y160" i="107" s="1"/>
  <c r="X160" i="107" a="1"/>
  <c r="X160" i="107" s="1"/>
  <c r="W160" i="107" a="1"/>
  <c r="W160" i="107" s="1"/>
  <c r="V160" i="107" a="1"/>
  <c r="V160" i="107" s="1"/>
  <c r="U160" i="107" a="1"/>
  <c r="U160" i="107" s="1"/>
  <c r="T160" i="107" a="1"/>
  <c r="T160" i="107" s="1"/>
  <c r="S160" i="107" a="1"/>
  <c r="S160" i="107" s="1"/>
  <c r="R160" i="107" a="1"/>
  <c r="R160" i="107" s="1"/>
  <c r="Q160" i="107" a="1"/>
  <c r="Q160" i="107" s="1"/>
  <c r="P160" i="107" a="1"/>
  <c r="P160" i="107" s="1"/>
  <c r="O160" i="107" a="1"/>
  <c r="O160" i="107" s="1"/>
  <c r="N160" i="107" a="1"/>
  <c r="N160" i="107" s="1"/>
  <c r="M160" i="107" a="1"/>
  <c r="M160" i="107" s="1"/>
  <c r="L160" i="107" a="1"/>
  <c r="L160" i="107" s="1"/>
  <c r="K160" i="107" a="1"/>
  <c r="K160" i="107" s="1"/>
  <c r="J160" i="107" a="1"/>
  <c r="J160" i="107" s="1"/>
  <c r="I160" i="107" a="1"/>
  <c r="I160" i="107" s="1"/>
  <c r="H160" i="107" a="1"/>
  <c r="H160" i="107" s="1"/>
  <c r="G160" i="107" a="1"/>
  <c r="G160" i="107" s="1"/>
  <c r="F160" i="107" a="1"/>
  <c r="F160" i="107" s="1"/>
  <c r="E160" i="107" a="1"/>
  <c r="E160" i="107" s="1"/>
  <c r="D160" i="107" a="1"/>
  <c r="D160" i="107" s="1"/>
  <c r="AH159" i="107" a="1"/>
  <c r="AH159" i="107" s="1"/>
  <c r="AG159" i="107" a="1"/>
  <c r="AG159" i="107" s="1"/>
  <c r="AF159" i="107" a="1"/>
  <c r="AF159" i="107" s="1"/>
  <c r="AE159" i="107" a="1"/>
  <c r="AE159" i="107" s="1"/>
  <c r="AD159" i="107" a="1"/>
  <c r="AD159" i="107" s="1"/>
  <c r="AC159" i="107" a="1"/>
  <c r="AC159" i="107" s="1"/>
  <c r="AB159" i="107" a="1"/>
  <c r="AB159" i="107" s="1"/>
  <c r="AA159" i="107" a="1"/>
  <c r="AA159" i="107" s="1"/>
  <c r="Z159" i="107" a="1"/>
  <c r="Z159" i="107" s="1"/>
  <c r="Y159" i="107" a="1"/>
  <c r="Y159" i="107" s="1"/>
  <c r="X159" i="107" a="1"/>
  <c r="X159" i="107" s="1"/>
  <c r="W159" i="107" a="1"/>
  <c r="W159" i="107" s="1"/>
  <c r="V159" i="107" a="1"/>
  <c r="V159" i="107" s="1"/>
  <c r="U159" i="107" a="1"/>
  <c r="U159" i="107" s="1"/>
  <c r="T159" i="107" a="1"/>
  <c r="T159" i="107" s="1"/>
  <c r="S159" i="107" a="1"/>
  <c r="S159" i="107" s="1"/>
  <c r="R159" i="107" a="1"/>
  <c r="R159" i="107" s="1"/>
  <c r="Q159" i="107" a="1"/>
  <c r="Q159" i="107" s="1"/>
  <c r="P159" i="107" a="1"/>
  <c r="P159" i="107" s="1"/>
  <c r="O159" i="107" a="1"/>
  <c r="O159" i="107" s="1"/>
  <c r="N159" i="107" a="1"/>
  <c r="N159" i="107" s="1"/>
  <c r="M159" i="107" a="1"/>
  <c r="M159" i="107" s="1"/>
  <c r="L159" i="107" a="1"/>
  <c r="L159" i="107" s="1"/>
  <c r="K159" i="107" a="1"/>
  <c r="K159" i="107" s="1"/>
  <c r="J159" i="107" a="1"/>
  <c r="J159" i="107" s="1"/>
  <c r="I159" i="107" a="1"/>
  <c r="I159" i="107" s="1"/>
  <c r="H159" i="107" a="1"/>
  <c r="H159" i="107" s="1"/>
  <c r="G159" i="107" a="1"/>
  <c r="G159" i="107" s="1"/>
  <c r="F159" i="107" a="1"/>
  <c r="F159" i="107" s="1"/>
  <c r="E159" i="107" a="1"/>
  <c r="E159" i="107" s="1"/>
  <c r="D159" i="107" a="1"/>
  <c r="D159" i="107" s="1"/>
  <c r="AH158" i="107" a="1"/>
  <c r="AH158" i="107" s="1"/>
  <c r="AG158" i="107" a="1"/>
  <c r="AG158" i="107" s="1"/>
  <c r="AF158" i="107" a="1"/>
  <c r="AF158" i="107" s="1"/>
  <c r="AE158" i="107" a="1"/>
  <c r="AE158" i="107" s="1"/>
  <c r="AD158" i="107" a="1"/>
  <c r="AD158" i="107" s="1"/>
  <c r="AC158" i="107" a="1"/>
  <c r="AC158" i="107" s="1"/>
  <c r="AB158" i="107" a="1"/>
  <c r="AB158" i="107" s="1"/>
  <c r="AA158" i="107" a="1"/>
  <c r="AA158" i="107" s="1"/>
  <c r="Z158" i="107" a="1"/>
  <c r="Z158" i="107" s="1"/>
  <c r="Y158" i="107" a="1"/>
  <c r="Y158" i="107" s="1"/>
  <c r="X158" i="107" a="1"/>
  <c r="X158" i="107" s="1"/>
  <c r="W158" i="107" a="1"/>
  <c r="W158" i="107" s="1"/>
  <c r="V158" i="107" a="1"/>
  <c r="V158" i="107" s="1"/>
  <c r="U158" i="107" a="1"/>
  <c r="U158" i="107" s="1"/>
  <c r="T158" i="107" a="1"/>
  <c r="T158" i="107" s="1"/>
  <c r="S158" i="107" a="1"/>
  <c r="S158" i="107" s="1"/>
  <c r="R158" i="107" a="1"/>
  <c r="R158" i="107" s="1"/>
  <c r="Q158" i="107" a="1"/>
  <c r="Q158" i="107" s="1"/>
  <c r="P158" i="107" a="1"/>
  <c r="P158" i="107" s="1"/>
  <c r="O158" i="107" a="1"/>
  <c r="O158" i="107" s="1"/>
  <c r="N158" i="107" a="1"/>
  <c r="N158" i="107" s="1"/>
  <c r="M158" i="107" a="1"/>
  <c r="M158" i="107" s="1"/>
  <c r="L158" i="107" a="1"/>
  <c r="L158" i="107" s="1"/>
  <c r="K158" i="107" a="1"/>
  <c r="K158" i="107" s="1"/>
  <c r="J158" i="107" a="1"/>
  <c r="J158" i="107" s="1"/>
  <c r="I158" i="107" a="1"/>
  <c r="I158" i="107" s="1"/>
  <c r="H158" i="107" a="1"/>
  <c r="H158" i="107" s="1"/>
  <c r="G158" i="107" a="1"/>
  <c r="G158" i="107" s="1"/>
  <c r="F158" i="107" a="1"/>
  <c r="F158" i="107" s="1"/>
  <c r="E158" i="107" a="1"/>
  <c r="E158" i="107" s="1"/>
  <c r="D158" i="107" a="1"/>
  <c r="D158" i="107" s="1"/>
  <c r="AH157" i="107" a="1"/>
  <c r="AH157" i="107" s="1"/>
  <c r="AG157" i="107" a="1"/>
  <c r="AG157" i="107" s="1"/>
  <c r="AF157" i="107" a="1"/>
  <c r="AF157" i="107" s="1"/>
  <c r="AE157" i="107" a="1"/>
  <c r="AE157" i="107" s="1"/>
  <c r="AD157" i="107" a="1"/>
  <c r="AD157" i="107" s="1"/>
  <c r="AC157" i="107" a="1"/>
  <c r="AC157" i="107" s="1"/>
  <c r="AB157" i="107" a="1"/>
  <c r="AB157" i="107" s="1"/>
  <c r="AA157" i="107" a="1"/>
  <c r="AA157" i="107" s="1"/>
  <c r="Z157" i="107" a="1"/>
  <c r="Z157" i="107" s="1"/>
  <c r="Y157" i="107" a="1"/>
  <c r="Y157" i="107" s="1"/>
  <c r="X157" i="107" a="1"/>
  <c r="X157" i="107" s="1"/>
  <c r="W157" i="107" a="1"/>
  <c r="W157" i="107" s="1"/>
  <c r="V157" i="107" a="1"/>
  <c r="V157" i="107" s="1"/>
  <c r="U157" i="107" a="1"/>
  <c r="U157" i="107" s="1"/>
  <c r="T157" i="107" a="1"/>
  <c r="T157" i="107" s="1"/>
  <c r="S157" i="107" a="1"/>
  <c r="S157" i="107" s="1"/>
  <c r="R157" i="107" a="1"/>
  <c r="R157" i="107" s="1"/>
  <c r="Q157" i="107" a="1"/>
  <c r="Q157" i="107" s="1"/>
  <c r="P157" i="107" a="1"/>
  <c r="P157" i="107" s="1"/>
  <c r="O157" i="107" a="1"/>
  <c r="O157" i="107" s="1"/>
  <c r="N157" i="107" a="1"/>
  <c r="N157" i="107" s="1"/>
  <c r="M157" i="107" a="1"/>
  <c r="M157" i="107" s="1"/>
  <c r="L157" i="107" a="1"/>
  <c r="L157" i="107" s="1"/>
  <c r="K157" i="107" a="1"/>
  <c r="K157" i="107" s="1"/>
  <c r="J157" i="107" a="1"/>
  <c r="J157" i="107" s="1"/>
  <c r="I157" i="107" a="1"/>
  <c r="I157" i="107" s="1"/>
  <c r="H157" i="107" a="1"/>
  <c r="H157" i="107" s="1"/>
  <c r="G157" i="107" a="1"/>
  <c r="G157" i="107" s="1"/>
  <c r="F157" i="107" a="1"/>
  <c r="F157" i="107" s="1"/>
  <c r="E157" i="107" a="1"/>
  <c r="E157" i="107" s="1"/>
  <c r="D157" i="107" a="1"/>
  <c r="D157" i="107" s="1"/>
  <c r="AH156" i="107" a="1"/>
  <c r="AH156" i="107" s="1"/>
  <c r="AG156" i="107" a="1"/>
  <c r="AG156" i="107" s="1"/>
  <c r="AF156" i="107" a="1"/>
  <c r="AF156" i="107" s="1"/>
  <c r="AE156" i="107" a="1"/>
  <c r="AE156" i="107" s="1"/>
  <c r="AD156" i="107" a="1"/>
  <c r="AD156" i="107" s="1"/>
  <c r="AC156" i="107" a="1"/>
  <c r="AC156" i="107" s="1"/>
  <c r="AB156" i="107" a="1"/>
  <c r="AB156" i="107" s="1"/>
  <c r="AA156" i="107" a="1"/>
  <c r="AA156" i="107" s="1"/>
  <c r="Z156" i="107" a="1"/>
  <c r="Z156" i="107" s="1"/>
  <c r="Y156" i="107" a="1"/>
  <c r="Y156" i="107" s="1"/>
  <c r="X156" i="107" a="1"/>
  <c r="X156" i="107" s="1"/>
  <c r="W156" i="107" a="1"/>
  <c r="W156" i="107" s="1"/>
  <c r="V156" i="107" a="1"/>
  <c r="V156" i="107" s="1"/>
  <c r="U156" i="107" a="1"/>
  <c r="U156" i="107" s="1"/>
  <c r="T156" i="107" a="1"/>
  <c r="T156" i="107" s="1"/>
  <c r="S156" i="107" a="1"/>
  <c r="S156" i="107" s="1"/>
  <c r="R156" i="107" a="1"/>
  <c r="R156" i="107" s="1"/>
  <c r="Q156" i="107" a="1"/>
  <c r="Q156" i="107" s="1"/>
  <c r="P156" i="107" a="1"/>
  <c r="P156" i="107" s="1"/>
  <c r="O156" i="107" a="1"/>
  <c r="O156" i="107" s="1"/>
  <c r="N156" i="107" a="1"/>
  <c r="N156" i="107" s="1"/>
  <c r="M156" i="107" a="1"/>
  <c r="M156" i="107" s="1"/>
  <c r="L156" i="107" a="1"/>
  <c r="L156" i="107" s="1"/>
  <c r="K156" i="107" a="1"/>
  <c r="K156" i="107" s="1"/>
  <c r="J156" i="107" a="1"/>
  <c r="J156" i="107" s="1"/>
  <c r="I156" i="107" a="1"/>
  <c r="I156" i="107" s="1"/>
  <c r="H156" i="107" a="1"/>
  <c r="H156" i="107" s="1"/>
  <c r="G156" i="107" a="1"/>
  <c r="G156" i="107" s="1"/>
  <c r="F156" i="107" a="1"/>
  <c r="F156" i="107" s="1"/>
  <c r="E156" i="107" a="1"/>
  <c r="E156" i="107" s="1"/>
  <c r="D156" i="107" a="1"/>
  <c r="D156" i="107" s="1"/>
  <c r="AH155" i="107" a="1"/>
  <c r="AH155" i="107" s="1"/>
  <c r="AG155" i="107" a="1"/>
  <c r="AG155" i="107" s="1"/>
  <c r="AF155" i="107" a="1"/>
  <c r="AF155" i="107" s="1"/>
  <c r="AE155" i="107" a="1"/>
  <c r="AE155" i="107" s="1"/>
  <c r="AD155" i="107" a="1"/>
  <c r="AD155" i="107" s="1"/>
  <c r="AC155" i="107" a="1"/>
  <c r="AC155" i="107" s="1"/>
  <c r="AB155" i="107" a="1"/>
  <c r="AB155" i="107" s="1"/>
  <c r="AA155" i="107" a="1"/>
  <c r="AA155" i="107" s="1"/>
  <c r="Z155" i="107" a="1"/>
  <c r="Z155" i="107" s="1"/>
  <c r="Y155" i="107" a="1"/>
  <c r="Y155" i="107" s="1"/>
  <c r="X155" i="107" a="1"/>
  <c r="X155" i="107" s="1"/>
  <c r="W155" i="107" a="1"/>
  <c r="W155" i="107" s="1"/>
  <c r="V155" i="107" a="1"/>
  <c r="V155" i="107" s="1"/>
  <c r="U155" i="107" a="1"/>
  <c r="U155" i="107" s="1"/>
  <c r="T155" i="107" a="1"/>
  <c r="T155" i="107" s="1"/>
  <c r="S155" i="107" a="1"/>
  <c r="S155" i="107" s="1"/>
  <c r="R155" i="107" a="1"/>
  <c r="R155" i="107" s="1"/>
  <c r="Q155" i="107" a="1"/>
  <c r="Q155" i="107" s="1"/>
  <c r="P155" i="107" a="1"/>
  <c r="P155" i="107" s="1"/>
  <c r="O155" i="107" a="1"/>
  <c r="O155" i="107" s="1"/>
  <c r="N155" i="107" a="1"/>
  <c r="N155" i="107" s="1"/>
  <c r="M155" i="107" a="1"/>
  <c r="M155" i="107" s="1"/>
  <c r="L155" i="107" a="1"/>
  <c r="L155" i="107" s="1"/>
  <c r="K155" i="107" a="1"/>
  <c r="K155" i="107" s="1"/>
  <c r="J155" i="107" a="1"/>
  <c r="J155" i="107" s="1"/>
  <c r="I155" i="107" a="1"/>
  <c r="I155" i="107" s="1"/>
  <c r="H155" i="107" a="1"/>
  <c r="H155" i="107" s="1"/>
  <c r="G155" i="107" a="1"/>
  <c r="G155" i="107" s="1"/>
  <c r="F155" i="107" a="1"/>
  <c r="F155" i="107" s="1"/>
  <c r="E155" i="107" a="1"/>
  <c r="E155" i="107" s="1"/>
  <c r="D155" i="107" a="1"/>
  <c r="D155" i="107" s="1"/>
  <c r="AH154" i="107" a="1"/>
  <c r="AH154" i="107" s="1"/>
  <c r="AG154" i="107" a="1"/>
  <c r="AG154" i="107" s="1"/>
  <c r="AF154" i="107" a="1"/>
  <c r="AF154" i="107" s="1"/>
  <c r="AE154" i="107" a="1"/>
  <c r="AE154" i="107" s="1"/>
  <c r="AD154" i="107" a="1"/>
  <c r="AD154" i="107" s="1"/>
  <c r="AC154" i="107" a="1"/>
  <c r="AC154" i="107" s="1"/>
  <c r="AB154" i="107" a="1"/>
  <c r="AB154" i="107" s="1"/>
  <c r="AA154" i="107" a="1"/>
  <c r="AA154" i="107" s="1"/>
  <c r="Z154" i="107" a="1"/>
  <c r="Z154" i="107" s="1"/>
  <c r="Y154" i="107" a="1"/>
  <c r="Y154" i="107" s="1"/>
  <c r="X154" i="107" a="1"/>
  <c r="X154" i="107" s="1"/>
  <c r="W154" i="107" a="1"/>
  <c r="W154" i="107" s="1"/>
  <c r="V154" i="107" a="1"/>
  <c r="V154" i="107" s="1"/>
  <c r="U154" i="107" a="1"/>
  <c r="U154" i="107" s="1"/>
  <c r="T154" i="107" a="1"/>
  <c r="T154" i="107" s="1"/>
  <c r="S154" i="107" a="1"/>
  <c r="S154" i="107" s="1"/>
  <c r="R154" i="107" a="1"/>
  <c r="R154" i="107" s="1"/>
  <c r="Q154" i="107" a="1"/>
  <c r="Q154" i="107" s="1"/>
  <c r="P154" i="107" a="1"/>
  <c r="P154" i="107" s="1"/>
  <c r="O154" i="107" a="1"/>
  <c r="O154" i="107" s="1"/>
  <c r="N154" i="107" a="1"/>
  <c r="N154" i="107" s="1"/>
  <c r="M154" i="107" a="1"/>
  <c r="M154" i="107" s="1"/>
  <c r="L154" i="107" a="1"/>
  <c r="L154" i="107" s="1"/>
  <c r="K154" i="107" a="1"/>
  <c r="K154" i="107" s="1"/>
  <c r="J154" i="107" a="1"/>
  <c r="J154" i="107" s="1"/>
  <c r="I154" i="107" a="1"/>
  <c r="I154" i="107" s="1"/>
  <c r="H154" i="107" a="1"/>
  <c r="H154" i="107" s="1"/>
  <c r="G154" i="107" a="1"/>
  <c r="G154" i="107" s="1"/>
  <c r="F154" i="107" a="1"/>
  <c r="F154" i="107" s="1"/>
  <c r="E154" i="107" a="1"/>
  <c r="E154" i="107" s="1"/>
  <c r="D154" i="107" a="1"/>
  <c r="D154" i="107" s="1"/>
  <c r="AH153" i="107" a="1"/>
  <c r="AH153" i="107" s="1"/>
  <c r="AG153" i="107" a="1"/>
  <c r="AG153" i="107" s="1"/>
  <c r="AF153" i="107" a="1"/>
  <c r="AF153" i="107" s="1"/>
  <c r="AE153" i="107" a="1"/>
  <c r="AE153" i="107" s="1"/>
  <c r="AD153" i="107" a="1"/>
  <c r="AD153" i="107" s="1"/>
  <c r="AC153" i="107" a="1"/>
  <c r="AC153" i="107" s="1"/>
  <c r="AB153" i="107" a="1"/>
  <c r="AB153" i="107" s="1"/>
  <c r="AA153" i="107" a="1"/>
  <c r="AA153" i="107" s="1"/>
  <c r="Z153" i="107" a="1"/>
  <c r="Z153" i="107" s="1"/>
  <c r="Y153" i="107" a="1"/>
  <c r="Y153" i="107" s="1"/>
  <c r="X153" i="107" a="1"/>
  <c r="X153" i="107" s="1"/>
  <c r="W153" i="107" a="1"/>
  <c r="W153" i="107" s="1"/>
  <c r="V153" i="107" a="1"/>
  <c r="V153" i="107" s="1"/>
  <c r="U153" i="107" a="1"/>
  <c r="U153" i="107" s="1"/>
  <c r="T153" i="107" a="1"/>
  <c r="T153" i="107" s="1"/>
  <c r="S153" i="107" a="1"/>
  <c r="S153" i="107" s="1"/>
  <c r="R153" i="107" a="1"/>
  <c r="R153" i="107" s="1"/>
  <c r="Q153" i="107" a="1"/>
  <c r="Q153" i="107" s="1"/>
  <c r="P153" i="107" a="1"/>
  <c r="P153" i="107" s="1"/>
  <c r="O153" i="107" a="1"/>
  <c r="O153" i="107" s="1"/>
  <c r="N153" i="107" a="1"/>
  <c r="N153" i="107" s="1"/>
  <c r="M153" i="107" a="1"/>
  <c r="M153" i="107" s="1"/>
  <c r="L153" i="107" a="1"/>
  <c r="L153" i="107" s="1"/>
  <c r="K153" i="107" a="1"/>
  <c r="K153" i="107" s="1"/>
  <c r="J153" i="107" a="1"/>
  <c r="J153" i="107" s="1"/>
  <c r="I153" i="107" a="1"/>
  <c r="I153" i="107" s="1"/>
  <c r="H153" i="107" a="1"/>
  <c r="H153" i="107" s="1"/>
  <c r="G153" i="107" a="1"/>
  <c r="G153" i="107" s="1"/>
  <c r="F153" i="107" a="1"/>
  <c r="F153" i="107" s="1"/>
  <c r="E153" i="107" a="1"/>
  <c r="E153" i="107" s="1"/>
  <c r="D153" i="107" a="1"/>
  <c r="D153" i="107" s="1"/>
  <c r="AH152" i="107" a="1"/>
  <c r="AH152" i="107" s="1"/>
  <c r="AG152" i="107" a="1"/>
  <c r="AG152" i="107" s="1"/>
  <c r="AF152" i="107" a="1"/>
  <c r="AF152" i="107" s="1"/>
  <c r="AE152" i="107" a="1"/>
  <c r="AE152" i="107" s="1"/>
  <c r="AD152" i="107" a="1"/>
  <c r="AD152" i="107" s="1"/>
  <c r="AC152" i="107" a="1"/>
  <c r="AC152" i="107" s="1"/>
  <c r="AB152" i="107" a="1"/>
  <c r="AB152" i="107" s="1"/>
  <c r="AA152" i="107" a="1"/>
  <c r="AA152" i="107" s="1"/>
  <c r="Z152" i="107" a="1"/>
  <c r="Z152" i="107" s="1"/>
  <c r="Y152" i="107" a="1"/>
  <c r="Y152" i="107" s="1"/>
  <c r="X152" i="107" a="1"/>
  <c r="X152" i="107" s="1"/>
  <c r="W152" i="107" a="1"/>
  <c r="W152" i="107" s="1"/>
  <c r="V152" i="107" a="1"/>
  <c r="V152" i="107" s="1"/>
  <c r="U152" i="107" a="1"/>
  <c r="U152" i="107" s="1"/>
  <c r="T152" i="107" a="1"/>
  <c r="T152" i="107" s="1"/>
  <c r="S152" i="107" a="1"/>
  <c r="S152" i="107" s="1"/>
  <c r="R152" i="107" a="1"/>
  <c r="R152" i="107" s="1"/>
  <c r="Q152" i="107" a="1"/>
  <c r="Q152" i="107" s="1"/>
  <c r="P152" i="107" a="1"/>
  <c r="P152" i="107" s="1"/>
  <c r="O152" i="107" a="1"/>
  <c r="O152" i="107" s="1"/>
  <c r="N152" i="107" a="1"/>
  <c r="N152" i="107" s="1"/>
  <c r="M152" i="107" a="1"/>
  <c r="M152" i="107" s="1"/>
  <c r="L152" i="107" a="1"/>
  <c r="L152" i="107" s="1"/>
  <c r="K152" i="107" a="1"/>
  <c r="K152" i="107" s="1"/>
  <c r="J152" i="107" a="1"/>
  <c r="J152" i="107" s="1"/>
  <c r="I152" i="107" a="1"/>
  <c r="I152" i="107" s="1"/>
  <c r="H152" i="107" a="1"/>
  <c r="H152" i="107" s="1"/>
  <c r="G152" i="107" a="1"/>
  <c r="G152" i="107" s="1"/>
  <c r="F152" i="107" a="1"/>
  <c r="F152" i="107" s="1"/>
  <c r="E152" i="107" a="1"/>
  <c r="E152" i="107" s="1"/>
  <c r="D152" i="107" a="1"/>
  <c r="D152" i="107" s="1"/>
  <c r="AH151" i="107" a="1"/>
  <c r="AH151" i="107" s="1"/>
  <c r="AG151" i="107" a="1"/>
  <c r="AG151" i="107" s="1"/>
  <c r="AF151" i="107" a="1"/>
  <c r="AF151" i="107" s="1"/>
  <c r="AE151" i="107" a="1"/>
  <c r="AE151" i="107" s="1"/>
  <c r="AD151" i="107" a="1"/>
  <c r="AD151" i="107" s="1"/>
  <c r="AC151" i="107" a="1"/>
  <c r="AC151" i="107" s="1"/>
  <c r="AB151" i="107" a="1"/>
  <c r="AB151" i="107" s="1"/>
  <c r="AA151" i="107" a="1"/>
  <c r="AA151" i="107" s="1"/>
  <c r="Z151" i="107" a="1"/>
  <c r="Z151" i="107" s="1"/>
  <c r="Y151" i="107" a="1"/>
  <c r="Y151" i="107" s="1"/>
  <c r="X151" i="107" a="1"/>
  <c r="X151" i="107" s="1"/>
  <c r="W151" i="107" a="1"/>
  <c r="W151" i="107" s="1"/>
  <c r="V151" i="107" a="1"/>
  <c r="V151" i="107" s="1"/>
  <c r="U151" i="107" a="1"/>
  <c r="U151" i="107" s="1"/>
  <c r="T151" i="107" a="1"/>
  <c r="T151" i="107" s="1"/>
  <c r="S151" i="107" a="1"/>
  <c r="S151" i="107" s="1"/>
  <c r="R151" i="107" a="1"/>
  <c r="R151" i="107" s="1"/>
  <c r="Q151" i="107" a="1"/>
  <c r="Q151" i="107" s="1"/>
  <c r="P151" i="107" a="1"/>
  <c r="P151" i="107" s="1"/>
  <c r="O151" i="107" a="1"/>
  <c r="O151" i="107" s="1"/>
  <c r="N151" i="107" a="1"/>
  <c r="N151" i="107" s="1"/>
  <c r="M151" i="107" a="1"/>
  <c r="M151" i="107" s="1"/>
  <c r="L151" i="107" a="1"/>
  <c r="L151" i="107" s="1"/>
  <c r="K151" i="107" a="1"/>
  <c r="K151" i="107" s="1"/>
  <c r="J151" i="107" a="1"/>
  <c r="J151" i="107" s="1"/>
  <c r="I151" i="107" a="1"/>
  <c r="I151" i="107" s="1"/>
  <c r="H151" i="107" a="1"/>
  <c r="H151" i="107" s="1"/>
  <c r="G151" i="107" a="1"/>
  <c r="G151" i="107" s="1"/>
  <c r="F151" i="107" a="1"/>
  <c r="F151" i="107" s="1"/>
  <c r="E151" i="107" a="1"/>
  <c r="E151" i="107" s="1"/>
  <c r="D151" i="107" a="1"/>
  <c r="D151" i="107" s="1"/>
  <c r="AH150" i="107" a="1"/>
  <c r="AH150" i="107" s="1"/>
  <c r="AG150" i="107" a="1"/>
  <c r="AG150" i="107" s="1"/>
  <c r="AF150" i="107" a="1"/>
  <c r="AF150" i="107" s="1"/>
  <c r="AE150" i="107" a="1"/>
  <c r="AE150" i="107" s="1"/>
  <c r="AD150" i="107" a="1"/>
  <c r="AD150" i="107" s="1"/>
  <c r="AC150" i="107" a="1"/>
  <c r="AC150" i="107" s="1"/>
  <c r="AB150" i="107" a="1"/>
  <c r="AB150" i="107" s="1"/>
  <c r="AA150" i="107" a="1"/>
  <c r="AA150" i="107" s="1"/>
  <c r="Z150" i="107" a="1"/>
  <c r="Z150" i="107" s="1"/>
  <c r="Y150" i="107" a="1"/>
  <c r="Y150" i="107" s="1"/>
  <c r="X150" i="107" a="1"/>
  <c r="X150" i="107" s="1"/>
  <c r="W150" i="107" a="1"/>
  <c r="W150" i="107" s="1"/>
  <c r="V150" i="107" a="1"/>
  <c r="V150" i="107" s="1"/>
  <c r="U150" i="107" a="1"/>
  <c r="U150" i="107" s="1"/>
  <c r="T150" i="107" a="1"/>
  <c r="T150" i="107" s="1"/>
  <c r="S150" i="107" a="1"/>
  <c r="S150" i="107" s="1"/>
  <c r="R150" i="107" a="1"/>
  <c r="R150" i="107" s="1"/>
  <c r="Q150" i="107" a="1"/>
  <c r="Q150" i="107" s="1"/>
  <c r="P150" i="107" a="1"/>
  <c r="P150" i="107" s="1"/>
  <c r="O150" i="107" a="1"/>
  <c r="O150" i="107" s="1"/>
  <c r="N150" i="107" a="1"/>
  <c r="N150" i="107" s="1"/>
  <c r="M150" i="107" a="1"/>
  <c r="M150" i="107" s="1"/>
  <c r="L150" i="107" a="1"/>
  <c r="L150" i="107" s="1"/>
  <c r="K150" i="107" a="1"/>
  <c r="K150" i="107" s="1"/>
  <c r="J150" i="107" a="1"/>
  <c r="J150" i="107" s="1"/>
  <c r="I150" i="107" a="1"/>
  <c r="I150" i="107" s="1"/>
  <c r="H150" i="107" a="1"/>
  <c r="H150" i="107" s="1"/>
  <c r="G150" i="107" a="1"/>
  <c r="G150" i="107" s="1"/>
  <c r="F150" i="107" a="1"/>
  <c r="F150" i="107" s="1"/>
  <c r="E150" i="107" a="1"/>
  <c r="E150" i="107" s="1"/>
  <c r="D150" i="107" a="1"/>
  <c r="D150" i="107" s="1"/>
  <c r="AH149" i="107" a="1"/>
  <c r="AH149" i="107" s="1"/>
  <c r="AG149" i="107" a="1"/>
  <c r="AG149" i="107" s="1"/>
  <c r="AF149" i="107" a="1"/>
  <c r="AF149" i="107" s="1"/>
  <c r="AE149" i="107" a="1"/>
  <c r="AE149" i="107" s="1"/>
  <c r="AD149" i="107" a="1"/>
  <c r="AD149" i="107" s="1"/>
  <c r="AC149" i="107" a="1"/>
  <c r="AC149" i="107" s="1"/>
  <c r="AB149" i="107" a="1"/>
  <c r="AB149" i="107" s="1"/>
  <c r="AA149" i="107" a="1"/>
  <c r="AA149" i="107" s="1"/>
  <c r="Z149" i="107" a="1"/>
  <c r="Z149" i="107" s="1"/>
  <c r="Y149" i="107" a="1"/>
  <c r="Y149" i="107" s="1"/>
  <c r="X149" i="107" a="1"/>
  <c r="X149" i="107" s="1"/>
  <c r="W149" i="107" a="1"/>
  <c r="W149" i="107" s="1"/>
  <c r="V149" i="107" a="1"/>
  <c r="V149" i="107" s="1"/>
  <c r="U149" i="107" a="1"/>
  <c r="U149" i="107" s="1"/>
  <c r="T149" i="107" a="1"/>
  <c r="T149" i="107" s="1"/>
  <c r="S149" i="107" a="1"/>
  <c r="S149" i="107" s="1"/>
  <c r="R149" i="107" a="1"/>
  <c r="R149" i="107" s="1"/>
  <c r="Q149" i="107" a="1"/>
  <c r="Q149" i="107" s="1"/>
  <c r="P149" i="107" a="1"/>
  <c r="P149" i="107" s="1"/>
  <c r="O149" i="107" a="1"/>
  <c r="O149" i="107" s="1"/>
  <c r="N149" i="107" a="1"/>
  <c r="N149" i="107" s="1"/>
  <c r="M149" i="107" a="1"/>
  <c r="M149" i="107" s="1"/>
  <c r="L149" i="107" a="1"/>
  <c r="L149" i="107" s="1"/>
  <c r="K149" i="107" a="1"/>
  <c r="K149" i="107" s="1"/>
  <c r="J149" i="107" a="1"/>
  <c r="J149" i="107" s="1"/>
  <c r="I149" i="107" a="1"/>
  <c r="I149" i="107" s="1"/>
  <c r="H149" i="107" a="1"/>
  <c r="H149" i="107" s="1"/>
  <c r="G149" i="107" a="1"/>
  <c r="G149" i="107" s="1"/>
  <c r="F149" i="107" a="1"/>
  <c r="F149" i="107" s="1"/>
  <c r="E149" i="107" a="1"/>
  <c r="E149" i="107" s="1"/>
  <c r="D149" i="107" a="1"/>
  <c r="D149" i="107" s="1"/>
  <c r="AH148" i="107" a="1"/>
  <c r="AH148" i="107" s="1"/>
  <c r="AG148" i="107" a="1"/>
  <c r="AG148" i="107" s="1"/>
  <c r="AF148" i="107" a="1"/>
  <c r="AF148" i="107" s="1"/>
  <c r="AE148" i="107" a="1"/>
  <c r="AE148" i="107" s="1"/>
  <c r="AD148" i="107" a="1"/>
  <c r="AD148" i="107" s="1"/>
  <c r="AC148" i="107" a="1"/>
  <c r="AC148" i="107" s="1"/>
  <c r="AB148" i="107" a="1"/>
  <c r="AB148" i="107" s="1"/>
  <c r="AA148" i="107" a="1"/>
  <c r="AA148" i="107" s="1"/>
  <c r="Z148" i="107" a="1"/>
  <c r="Z148" i="107" s="1"/>
  <c r="Y148" i="107" a="1"/>
  <c r="Y148" i="107" s="1"/>
  <c r="X148" i="107" a="1"/>
  <c r="X148" i="107" s="1"/>
  <c r="W148" i="107" a="1"/>
  <c r="W148" i="107" s="1"/>
  <c r="V148" i="107" a="1"/>
  <c r="V148" i="107" s="1"/>
  <c r="U148" i="107" a="1"/>
  <c r="U148" i="107" s="1"/>
  <c r="T148" i="107" a="1"/>
  <c r="T148" i="107" s="1"/>
  <c r="S148" i="107" a="1"/>
  <c r="S148" i="107" s="1"/>
  <c r="R148" i="107" a="1"/>
  <c r="R148" i="107" s="1"/>
  <c r="Q148" i="107" a="1"/>
  <c r="Q148" i="107" s="1"/>
  <c r="P148" i="107" a="1"/>
  <c r="P148" i="107" s="1"/>
  <c r="O148" i="107" a="1"/>
  <c r="O148" i="107" s="1"/>
  <c r="N148" i="107" a="1"/>
  <c r="N148" i="107" s="1"/>
  <c r="M148" i="107" a="1"/>
  <c r="M148" i="107" s="1"/>
  <c r="L148" i="107" a="1"/>
  <c r="L148" i="107" s="1"/>
  <c r="K148" i="107" a="1"/>
  <c r="K148" i="107" s="1"/>
  <c r="J148" i="107" a="1"/>
  <c r="J148" i="107" s="1"/>
  <c r="I148" i="107" a="1"/>
  <c r="I148" i="107" s="1"/>
  <c r="H148" i="107" a="1"/>
  <c r="H148" i="107" s="1"/>
  <c r="G148" i="107" a="1"/>
  <c r="G148" i="107" s="1"/>
  <c r="F148" i="107" a="1"/>
  <c r="F148" i="107" s="1"/>
  <c r="E148" i="107" a="1"/>
  <c r="E148" i="107" s="1"/>
  <c r="D148" i="107" a="1"/>
  <c r="D148" i="107" s="1"/>
  <c r="AH147" i="107" a="1"/>
  <c r="AH147" i="107" s="1"/>
  <c r="AG147" i="107" a="1"/>
  <c r="AG147" i="107" s="1"/>
  <c r="AF147" i="107" a="1"/>
  <c r="AF147" i="107" s="1"/>
  <c r="AE147" i="107" a="1"/>
  <c r="AE147" i="107" s="1"/>
  <c r="AD147" i="107" a="1"/>
  <c r="AD147" i="107" s="1"/>
  <c r="AC147" i="107" a="1"/>
  <c r="AC147" i="107" s="1"/>
  <c r="AB147" i="107" a="1"/>
  <c r="AB147" i="107" s="1"/>
  <c r="AA147" i="107" a="1"/>
  <c r="AA147" i="107" s="1"/>
  <c r="Z147" i="107" a="1"/>
  <c r="Z147" i="107" s="1"/>
  <c r="Y147" i="107" a="1"/>
  <c r="Y147" i="107" s="1"/>
  <c r="X147" i="107" a="1"/>
  <c r="X147" i="107" s="1"/>
  <c r="W147" i="107" a="1"/>
  <c r="W147" i="107" s="1"/>
  <c r="V147" i="107" a="1"/>
  <c r="V147" i="107" s="1"/>
  <c r="U147" i="107" a="1"/>
  <c r="U147" i="107" s="1"/>
  <c r="T147" i="107" a="1"/>
  <c r="T147" i="107" s="1"/>
  <c r="S147" i="107" a="1"/>
  <c r="S147" i="107" s="1"/>
  <c r="R147" i="107" a="1"/>
  <c r="R147" i="107" s="1"/>
  <c r="Q147" i="107" a="1"/>
  <c r="Q147" i="107" s="1"/>
  <c r="P147" i="107" a="1"/>
  <c r="P147" i="107" s="1"/>
  <c r="O147" i="107" a="1"/>
  <c r="O147" i="107" s="1"/>
  <c r="N147" i="107" a="1"/>
  <c r="N147" i="107" s="1"/>
  <c r="M147" i="107" a="1"/>
  <c r="M147" i="107" s="1"/>
  <c r="L147" i="107" a="1"/>
  <c r="L147" i="107" s="1"/>
  <c r="K147" i="107" a="1"/>
  <c r="K147" i="107" s="1"/>
  <c r="J147" i="107" a="1"/>
  <c r="J147" i="107" s="1"/>
  <c r="I147" i="107" a="1"/>
  <c r="I147" i="107" s="1"/>
  <c r="H147" i="107" a="1"/>
  <c r="H147" i="107" s="1"/>
  <c r="G147" i="107" a="1"/>
  <c r="G147" i="107" s="1"/>
  <c r="F147" i="107" a="1"/>
  <c r="F147" i="107" s="1"/>
  <c r="E147" i="107" a="1"/>
  <c r="E147" i="107" s="1"/>
  <c r="D147" i="107" a="1"/>
  <c r="D147" i="107" s="1"/>
  <c r="AH146" i="107" a="1"/>
  <c r="AH146" i="107" s="1"/>
  <c r="AG146" i="107" a="1"/>
  <c r="AG146" i="107" s="1"/>
  <c r="AF146" i="107" a="1"/>
  <c r="AF146" i="107" s="1"/>
  <c r="AE146" i="107" a="1"/>
  <c r="AE146" i="107" s="1"/>
  <c r="AD146" i="107" a="1"/>
  <c r="AD146" i="107" s="1"/>
  <c r="AC146" i="107" a="1"/>
  <c r="AC146" i="107" s="1"/>
  <c r="AB146" i="107" a="1"/>
  <c r="AB146" i="107" s="1"/>
  <c r="AA146" i="107" a="1"/>
  <c r="AA146" i="107" s="1"/>
  <c r="Z146" i="107" a="1"/>
  <c r="Z146" i="107" s="1"/>
  <c r="Y146" i="107" a="1"/>
  <c r="Y146" i="107" s="1"/>
  <c r="X146" i="107" a="1"/>
  <c r="X146" i="107" s="1"/>
  <c r="W146" i="107" a="1"/>
  <c r="W146" i="107" s="1"/>
  <c r="V146" i="107" a="1"/>
  <c r="V146" i="107" s="1"/>
  <c r="U146" i="107" a="1"/>
  <c r="U146" i="107" s="1"/>
  <c r="T146" i="107" a="1"/>
  <c r="T146" i="107" s="1"/>
  <c r="S146" i="107" a="1"/>
  <c r="S146" i="107" s="1"/>
  <c r="R146" i="107" a="1"/>
  <c r="R146" i="107" s="1"/>
  <c r="Q146" i="107" a="1"/>
  <c r="Q146" i="107" s="1"/>
  <c r="P146" i="107" a="1"/>
  <c r="P146" i="107" s="1"/>
  <c r="O146" i="107" a="1"/>
  <c r="O146" i="107" s="1"/>
  <c r="N146" i="107" a="1"/>
  <c r="N146" i="107" s="1"/>
  <c r="M146" i="107" a="1"/>
  <c r="M146" i="107" s="1"/>
  <c r="L146" i="107" a="1"/>
  <c r="L146" i="107" s="1"/>
  <c r="K146" i="107" a="1"/>
  <c r="K146" i="107" s="1"/>
  <c r="J146" i="107" a="1"/>
  <c r="J146" i="107" s="1"/>
  <c r="I146" i="107" a="1"/>
  <c r="I146" i="107" s="1"/>
  <c r="H146" i="107" a="1"/>
  <c r="H146" i="107" s="1"/>
  <c r="G146" i="107" a="1"/>
  <c r="G146" i="107" s="1"/>
  <c r="F146" i="107" a="1"/>
  <c r="F146" i="107" s="1"/>
  <c r="E146" i="107" a="1"/>
  <c r="E146" i="107" s="1"/>
  <c r="D146" i="107" a="1"/>
  <c r="D146" i="107" s="1"/>
  <c r="AH145" i="107" a="1"/>
  <c r="AH145" i="107" s="1"/>
  <c r="AG145" i="107" a="1"/>
  <c r="AG145" i="107" s="1"/>
  <c r="AF145" i="107" a="1"/>
  <c r="AF145" i="107" s="1"/>
  <c r="AE145" i="107" a="1"/>
  <c r="AE145" i="107" s="1"/>
  <c r="AD145" i="107" a="1"/>
  <c r="AD145" i="107" s="1"/>
  <c r="AC145" i="107" a="1"/>
  <c r="AC145" i="107" s="1"/>
  <c r="AB145" i="107" a="1"/>
  <c r="AB145" i="107" s="1"/>
  <c r="AA145" i="107" a="1"/>
  <c r="AA145" i="107" s="1"/>
  <c r="Z145" i="107" a="1"/>
  <c r="Z145" i="107" s="1"/>
  <c r="Y145" i="107" a="1"/>
  <c r="Y145" i="107" s="1"/>
  <c r="X145" i="107" a="1"/>
  <c r="X145" i="107" s="1"/>
  <c r="W145" i="107" a="1"/>
  <c r="W145" i="107" s="1"/>
  <c r="V145" i="107" a="1"/>
  <c r="V145" i="107" s="1"/>
  <c r="U145" i="107" a="1"/>
  <c r="U145" i="107" s="1"/>
  <c r="T145" i="107" a="1"/>
  <c r="T145" i="107" s="1"/>
  <c r="S145" i="107" a="1"/>
  <c r="S145" i="107" s="1"/>
  <c r="R145" i="107" a="1"/>
  <c r="R145" i="107" s="1"/>
  <c r="Q145" i="107" a="1"/>
  <c r="Q145" i="107" s="1"/>
  <c r="P145" i="107" a="1"/>
  <c r="P145" i="107" s="1"/>
  <c r="O145" i="107" a="1"/>
  <c r="O145" i="107" s="1"/>
  <c r="N145" i="107" a="1"/>
  <c r="N145" i="107" s="1"/>
  <c r="M145" i="107" a="1"/>
  <c r="M145" i="107" s="1"/>
  <c r="L145" i="107" a="1"/>
  <c r="L145" i="107" s="1"/>
  <c r="K145" i="107" a="1"/>
  <c r="K145" i="107" s="1"/>
  <c r="J145" i="107" a="1"/>
  <c r="J145" i="107" s="1"/>
  <c r="I145" i="107" a="1"/>
  <c r="I145" i="107" s="1"/>
  <c r="H145" i="107" a="1"/>
  <c r="H145" i="107" s="1"/>
  <c r="G145" i="107" a="1"/>
  <c r="G145" i="107" s="1"/>
  <c r="F145" i="107" a="1"/>
  <c r="F145" i="107" s="1"/>
  <c r="E145" i="107" a="1"/>
  <c r="E145" i="107" s="1"/>
  <c r="D145" i="107" a="1"/>
  <c r="D145" i="107" s="1"/>
  <c r="AH144" i="107" a="1"/>
  <c r="AH144" i="107" s="1"/>
  <c r="AG144" i="107" a="1"/>
  <c r="AG144" i="107" s="1"/>
  <c r="AF144" i="107" a="1"/>
  <c r="AF144" i="107" s="1"/>
  <c r="AE144" i="107" a="1"/>
  <c r="AE144" i="107" s="1"/>
  <c r="AD144" i="107" a="1"/>
  <c r="AD144" i="107" s="1"/>
  <c r="AC144" i="107" a="1"/>
  <c r="AC144" i="107" s="1"/>
  <c r="AB144" i="107" a="1"/>
  <c r="AB144" i="107" s="1"/>
  <c r="AA144" i="107" a="1"/>
  <c r="AA144" i="107" s="1"/>
  <c r="Z144" i="107" a="1"/>
  <c r="Z144" i="107" s="1"/>
  <c r="Y144" i="107" a="1"/>
  <c r="Y144" i="107" s="1"/>
  <c r="X144" i="107" a="1"/>
  <c r="X144" i="107" s="1"/>
  <c r="W144" i="107" a="1"/>
  <c r="W144" i="107" s="1"/>
  <c r="V144" i="107" a="1"/>
  <c r="V144" i="107" s="1"/>
  <c r="U144" i="107" a="1"/>
  <c r="U144" i="107" s="1"/>
  <c r="T144" i="107" a="1"/>
  <c r="T144" i="107" s="1"/>
  <c r="S144" i="107" a="1"/>
  <c r="S144" i="107" s="1"/>
  <c r="R144" i="107" a="1"/>
  <c r="R144" i="107" s="1"/>
  <c r="Q144" i="107" a="1"/>
  <c r="Q144" i="107" s="1"/>
  <c r="P144" i="107" a="1"/>
  <c r="P144" i="107" s="1"/>
  <c r="O144" i="107" a="1"/>
  <c r="O144" i="107" s="1"/>
  <c r="N144" i="107" a="1"/>
  <c r="N144" i="107" s="1"/>
  <c r="M144" i="107" a="1"/>
  <c r="M144" i="107" s="1"/>
  <c r="L144" i="107" a="1"/>
  <c r="L144" i="107" s="1"/>
  <c r="K144" i="107" a="1"/>
  <c r="K144" i="107" s="1"/>
  <c r="J144" i="107" a="1"/>
  <c r="J144" i="107" s="1"/>
  <c r="I144" i="107" a="1"/>
  <c r="I144" i="107" s="1"/>
  <c r="H144" i="107" a="1"/>
  <c r="H144" i="107" s="1"/>
  <c r="G144" i="107" a="1"/>
  <c r="G144" i="107" s="1"/>
  <c r="F144" i="107" a="1"/>
  <c r="F144" i="107" s="1"/>
  <c r="E144" i="107" a="1"/>
  <c r="E144" i="107" s="1"/>
  <c r="D144" i="107" a="1"/>
  <c r="D144" i="107" s="1"/>
  <c r="AH143" i="107" a="1"/>
  <c r="AH143" i="107" s="1"/>
  <c r="AG143" i="107" a="1"/>
  <c r="AG143" i="107" s="1"/>
  <c r="AF143" i="107" a="1"/>
  <c r="AF143" i="107" s="1"/>
  <c r="AE143" i="107" a="1"/>
  <c r="AE143" i="107" s="1"/>
  <c r="AD143" i="107" a="1"/>
  <c r="AD143" i="107" s="1"/>
  <c r="AC143" i="107" a="1"/>
  <c r="AC143" i="107" s="1"/>
  <c r="AB143" i="107" a="1"/>
  <c r="AB143" i="107" s="1"/>
  <c r="AA143" i="107" a="1"/>
  <c r="AA143" i="107" s="1"/>
  <c r="Z143" i="107" a="1"/>
  <c r="Z143" i="107" s="1"/>
  <c r="Y143" i="107" a="1"/>
  <c r="Y143" i="107" s="1"/>
  <c r="X143" i="107" a="1"/>
  <c r="X143" i="107" s="1"/>
  <c r="W143" i="107" a="1"/>
  <c r="W143" i="107" s="1"/>
  <c r="V143" i="107" a="1"/>
  <c r="V143" i="107" s="1"/>
  <c r="U143" i="107" a="1"/>
  <c r="U143" i="107" s="1"/>
  <c r="T143" i="107" a="1"/>
  <c r="T143" i="107" s="1"/>
  <c r="S143" i="107" a="1"/>
  <c r="S143" i="107" s="1"/>
  <c r="R143" i="107" a="1"/>
  <c r="R143" i="107" s="1"/>
  <c r="Q143" i="107" a="1"/>
  <c r="Q143" i="107" s="1"/>
  <c r="P143" i="107" a="1"/>
  <c r="P143" i="107" s="1"/>
  <c r="O143" i="107" a="1"/>
  <c r="O143" i="107" s="1"/>
  <c r="N143" i="107" a="1"/>
  <c r="N143" i="107" s="1"/>
  <c r="M143" i="107" a="1"/>
  <c r="M143" i="107" s="1"/>
  <c r="L143" i="107" a="1"/>
  <c r="L143" i="107" s="1"/>
  <c r="K143" i="107" a="1"/>
  <c r="K143" i="107" s="1"/>
  <c r="J143" i="107" a="1"/>
  <c r="J143" i="107" s="1"/>
  <c r="I143" i="107" a="1"/>
  <c r="I143" i="107" s="1"/>
  <c r="H143" i="107" a="1"/>
  <c r="H143" i="107" s="1"/>
  <c r="G143" i="107" a="1"/>
  <c r="G143" i="107" s="1"/>
  <c r="F143" i="107" a="1"/>
  <c r="F143" i="107" s="1"/>
  <c r="E143" i="107" a="1"/>
  <c r="E143" i="107" s="1"/>
  <c r="D143" i="107" a="1"/>
  <c r="D143" i="107" s="1"/>
  <c r="AH142" i="107" a="1"/>
  <c r="AH142" i="107" s="1"/>
  <c r="AG142" i="107" a="1"/>
  <c r="AG142" i="107" s="1"/>
  <c r="AF142" i="107" a="1"/>
  <c r="AF142" i="107" s="1"/>
  <c r="AE142" i="107" a="1"/>
  <c r="AE142" i="107" s="1"/>
  <c r="AD142" i="107" a="1"/>
  <c r="AD142" i="107" s="1"/>
  <c r="AC142" i="107" a="1"/>
  <c r="AC142" i="107" s="1"/>
  <c r="AB142" i="107" a="1"/>
  <c r="AB142" i="107" s="1"/>
  <c r="AA142" i="107" a="1"/>
  <c r="AA142" i="107" s="1"/>
  <c r="Z142" i="107" a="1"/>
  <c r="Z142" i="107" s="1"/>
  <c r="Y142" i="107" a="1"/>
  <c r="Y142" i="107" s="1"/>
  <c r="X142" i="107" a="1"/>
  <c r="X142" i="107" s="1"/>
  <c r="W142" i="107" a="1"/>
  <c r="W142" i="107" s="1"/>
  <c r="V142" i="107" a="1"/>
  <c r="V142" i="107" s="1"/>
  <c r="U142" i="107" a="1"/>
  <c r="U142" i="107" s="1"/>
  <c r="T142" i="107" a="1"/>
  <c r="T142" i="107" s="1"/>
  <c r="S142" i="107" a="1"/>
  <c r="S142" i="107" s="1"/>
  <c r="R142" i="107" a="1"/>
  <c r="R142" i="107" s="1"/>
  <c r="Q142" i="107" a="1"/>
  <c r="Q142" i="107" s="1"/>
  <c r="P142" i="107" a="1"/>
  <c r="P142" i="107" s="1"/>
  <c r="O142" i="107" a="1"/>
  <c r="O142" i="107" s="1"/>
  <c r="N142" i="107" a="1"/>
  <c r="N142" i="107" s="1"/>
  <c r="M142" i="107" a="1"/>
  <c r="M142" i="107" s="1"/>
  <c r="L142" i="107" a="1"/>
  <c r="L142" i="107" s="1"/>
  <c r="K142" i="107" a="1"/>
  <c r="K142" i="107" s="1"/>
  <c r="J142" i="107" a="1"/>
  <c r="J142" i="107" s="1"/>
  <c r="I142" i="107" a="1"/>
  <c r="I142" i="107" s="1"/>
  <c r="H142" i="107" a="1"/>
  <c r="H142" i="107" s="1"/>
  <c r="G142" i="107" a="1"/>
  <c r="G142" i="107" s="1"/>
  <c r="F142" i="107" a="1"/>
  <c r="F142" i="107" s="1"/>
  <c r="E142" i="107" a="1"/>
  <c r="E142" i="107" s="1"/>
  <c r="D142" i="107" a="1"/>
  <c r="D142" i="107" s="1"/>
  <c r="AH141" i="107" a="1"/>
  <c r="AH141" i="107" s="1"/>
  <c r="AG141" i="107" a="1"/>
  <c r="AG141" i="107" s="1"/>
  <c r="AF141" i="107" a="1"/>
  <c r="AF141" i="107" s="1"/>
  <c r="AE141" i="107" a="1"/>
  <c r="AE141" i="107" s="1"/>
  <c r="AD141" i="107" a="1"/>
  <c r="AD141" i="107" s="1"/>
  <c r="AC141" i="107" a="1"/>
  <c r="AC141" i="107" s="1"/>
  <c r="AB141" i="107" a="1"/>
  <c r="AB141" i="107" s="1"/>
  <c r="AA141" i="107" a="1"/>
  <c r="AA141" i="107" s="1"/>
  <c r="Z141" i="107" a="1"/>
  <c r="Z141" i="107" s="1"/>
  <c r="Y141" i="107" a="1"/>
  <c r="Y141" i="107" s="1"/>
  <c r="X141" i="107" a="1"/>
  <c r="X141" i="107" s="1"/>
  <c r="W141" i="107" a="1"/>
  <c r="W141" i="107" s="1"/>
  <c r="V141" i="107" a="1"/>
  <c r="V141" i="107" s="1"/>
  <c r="U141" i="107" a="1"/>
  <c r="U141" i="107" s="1"/>
  <c r="T141" i="107" a="1"/>
  <c r="T141" i="107" s="1"/>
  <c r="S141" i="107" a="1"/>
  <c r="S141" i="107" s="1"/>
  <c r="R141" i="107" a="1"/>
  <c r="R141" i="107" s="1"/>
  <c r="Q141" i="107" a="1"/>
  <c r="Q141" i="107" s="1"/>
  <c r="P141" i="107" a="1"/>
  <c r="P141" i="107" s="1"/>
  <c r="O141" i="107" a="1"/>
  <c r="O141" i="107" s="1"/>
  <c r="N141" i="107" a="1"/>
  <c r="N141" i="107" s="1"/>
  <c r="M141" i="107" a="1"/>
  <c r="M141" i="107" s="1"/>
  <c r="L141" i="107" a="1"/>
  <c r="L141" i="107" s="1"/>
  <c r="K141" i="107" a="1"/>
  <c r="K141" i="107" s="1"/>
  <c r="J141" i="107" a="1"/>
  <c r="J141" i="107" s="1"/>
  <c r="I141" i="107" a="1"/>
  <c r="I141" i="107" s="1"/>
  <c r="H141" i="107" a="1"/>
  <c r="H141" i="107" s="1"/>
  <c r="G141" i="107" a="1"/>
  <c r="G141" i="107" s="1"/>
  <c r="F141" i="107" a="1"/>
  <c r="F141" i="107" s="1"/>
  <c r="E141" i="107" a="1"/>
  <c r="E141" i="107" s="1"/>
  <c r="D141" i="107" a="1"/>
  <c r="D141" i="107" s="1"/>
  <c r="AH140" i="107" a="1"/>
  <c r="AH140" i="107" s="1"/>
  <c r="AG140" i="107" a="1"/>
  <c r="AG140" i="107" s="1"/>
  <c r="AF140" i="107" a="1"/>
  <c r="AF140" i="107" s="1"/>
  <c r="AE140" i="107" a="1"/>
  <c r="AE140" i="107" s="1"/>
  <c r="AD140" i="107" a="1"/>
  <c r="AD140" i="107" s="1"/>
  <c r="AC140" i="107" a="1"/>
  <c r="AC140" i="107" s="1"/>
  <c r="AB140" i="107" a="1"/>
  <c r="AB140" i="107" s="1"/>
  <c r="AA140" i="107" a="1"/>
  <c r="AA140" i="107" s="1"/>
  <c r="Z140" i="107" a="1"/>
  <c r="Z140" i="107" s="1"/>
  <c r="Y140" i="107" a="1"/>
  <c r="Y140" i="107" s="1"/>
  <c r="X140" i="107" a="1"/>
  <c r="X140" i="107" s="1"/>
  <c r="W140" i="107" a="1"/>
  <c r="W140" i="107" s="1"/>
  <c r="V140" i="107" a="1"/>
  <c r="V140" i="107" s="1"/>
  <c r="U140" i="107" a="1"/>
  <c r="U140" i="107" s="1"/>
  <c r="T140" i="107" a="1"/>
  <c r="T140" i="107" s="1"/>
  <c r="S140" i="107" a="1"/>
  <c r="S140" i="107" s="1"/>
  <c r="R140" i="107" a="1"/>
  <c r="R140" i="107" s="1"/>
  <c r="Q140" i="107" a="1"/>
  <c r="Q140" i="107" s="1"/>
  <c r="P140" i="107" a="1"/>
  <c r="P140" i="107" s="1"/>
  <c r="O140" i="107" a="1"/>
  <c r="O140" i="107" s="1"/>
  <c r="N140" i="107" a="1"/>
  <c r="N140" i="107" s="1"/>
  <c r="M140" i="107" a="1"/>
  <c r="M140" i="107" s="1"/>
  <c r="L140" i="107" a="1"/>
  <c r="L140" i="107" s="1"/>
  <c r="K140" i="107" a="1"/>
  <c r="K140" i="107" s="1"/>
  <c r="J140" i="107" a="1"/>
  <c r="J140" i="107" s="1"/>
  <c r="I140" i="107" a="1"/>
  <c r="I140" i="107" s="1"/>
  <c r="H140" i="107" a="1"/>
  <c r="H140" i="107" s="1"/>
  <c r="G140" i="107" a="1"/>
  <c r="G140" i="107" s="1"/>
  <c r="F140" i="107" a="1"/>
  <c r="F140" i="107" s="1"/>
  <c r="E140" i="107" a="1"/>
  <c r="E140" i="107" s="1"/>
  <c r="D140" i="107" a="1"/>
  <c r="D140" i="107" s="1"/>
  <c r="AH139" i="107" a="1"/>
  <c r="AH139" i="107" s="1"/>
  <c r="AG139" i="107" a="1"/>
  <c r="AG139" i="107" s="1"/>
  <c r="AF139" i="107" a="1"/>
  <c r="AF139" i="107" s="1"/>
  <c r="AE139" i="107" a="1"/>
  <c r="AE139" i="107" s="1"/>
  <c r="AD139" i="107" a="1"/>
  <c r="AD139" i="107" s="1"/>
  <c r="AC139" i="107" a="1"/>
  <c r="AC139" i="107" s="1"/>
  <c r="AB139" i="107" a="1"/>
  <c r="AB139" i="107" s="1"/>
  <c r="AA139" i="107" a="1"/>
  <c r="AA139" i="107" s="1"/>
  <c r="Z139" i="107" a="1"/>
  <c r="Z139" i="107" s="1"/>
  <c r="Y139" i="107" a="1"/>
  <c r="Y139" i="107" s="1"/>
  <c r="X139" i="107" a="1"/>
  <c r="X139" i="107" s="1"/>
  <c r="W139" i="107" a="1"/>
  <c r="W139" i="107" s="1"/>
  <c r="V139" i="107" a="1"/>
  <c r="V139" i="107" s="1"/>
  <c r="U139" i="107" a="1"/>
  <c r="U139" i="107" s="1"/>
  <c r="T139" i="107" a="1"/>
  <c r="T139" i="107" s="1"/>
  <c r="S139" i="107" a="1"/>
  <c r="S139" i="107" s="1"/>
  <c r="R139" i="107" a="1"/>
  <c r="R139" i="107" s="1"/>
  <c r="Q139" i="107" a="1"/>
  <c r="Q139" i="107" s="1"/>
  <c r="P139" i="107" a="1"/>
  <c r="P139" i="107" s="1"/>
  <c r="O139" i="107" a="1"/>
  <c r="O139" i="107" s="1"/>
  <c r="N139" i="107" a="1"/>
  <c r="N139" i="107" s="1"/>
  <c r="M139" i="107" a="1"/>
  <c r="M139" i="107" s="1"/>
  <c r="L139" i="107" a="1"/>
  <c r="L139" i="107" s="1"/>
  <c r="K139" i="107" a="1"/>
  <c r="K139" i="107" s="1"/>
  <c r="J139" i="107" a="1"/>
  <c r="J139" i="107" s="1"/>
  <c r="I139" i="107" a="1"/>
  <c r="I139" i="107" s="1"/>
  <c r="H139" i="107" a="1"/>
  <c r="H139" i="107" s="1"/>
  <c r="G139" i="107" a="1"/>
  <c r="G139" i="107" s="1"/>
  <c r="F139" i="107" a="1"/>
  <c r="F139" i="107" s="1"/>
  <c r="E139" i="107" a="1"/>
  <c r="E139" i="107" s="1"/>
  <c r="D139" i="107" a="1"/>
  <c r="D139" i="107" s="1"/>
  <c r="AH138" i="107" a="1"/>
  <c r="AH138" i="107" s="1"/>
  <c r="AG138" i="107" a="1"/>
  <c r="AG138" i="107" s="1"/>
  <c r="AF138" i="107" a="1"/>
  <c r="AF138" i="107" s="1"/>
  <c r="AE138" i="107" a="1"/>
  <c r="AE138" i="107" s="1"/>
  <c r="AD138" i="107" a="1"/>
  <c r="AD138" i="107" s="1"/>
  <c r="AC138" i="107" a="1"/>
  <c r="AC138" i="107" s="1"/>
  <c r="AB138" i="107" a="1"/>
  <c r="AB138" i="107" s="1"/>
  <c r="AA138" i="107" a="1"/>
  <c r="AA138" i="107" s="1"/>
  <c r="Z138" i="107" a="1"/>
  <c r="Z138" i="107" s="1"/>
  <c r="Y138" i="107" a="1"/>
  <c r="Y138" i="107" s="1"/>
  <c r="X138" i="107" a="1"/>
  <c r="X138" i="107" s="1"/>
  <c r="W138" i="107" a="1"/>
  <c r="W138" i="107" s="1"/>
  <c r="V138" i="107" a="1"/>
  <c r="V138" i="107" s="1"/>
  <c r="U138" i="107" a="1"/>
  <c r="U138" i="107" s="1"/>
  <c r="T138" i="107" a="1"/>
  <c r="T138" i="107" s="1"/>
  <c r="S138" i="107" a="1"/>
  <c r="S138" i="107" s="1"/>
  <c r="R138" i="107" a="1"/>
  <c r="R138" i="107" s="1"/>
  <c r="Q138" i="107" a="1"/>
  <c r="Q138" i="107" s="1"/>
  <c r="P138" i="107" a="1"/>
  <c r="P138" i="107" s="1"/>
  <c r="O138" i="107" a="1"/>
  <c r="O138" i="107" s="1"/>
  <c r="N138" i="107" a="1"/>
  <c r="N138" i="107" s="1"/>
  <c r="M138" i="107" a="1"/>
  <c r="M138" i="107" s="1"/>
  <c r="L138" i="107" a="1"/>
  <c r="L138" i="107" s="1"/>
  <c r="K138" i="107" a="1"/>
  <c r="K138" i="107" s="1"/>
  <c r="J138" i="107" a="1"/>
  <c r="J138" i="107" s="1"/>
  <c r="I138" i="107" a="1"/>
  <c r="I138" i="107" s="1"/>
  <c r="H138" i="107" a="1"/>
  <c r="H138" i="107" s="1"/>
  <c r="G138" i="107" a="1"/>
  <c r="G138" i="107" s="1"/>
  <c r="F138" i="107" a="1"/>
  <c r="F138" i="107" s="1"/>
  <c r="E138" i="107" a="1"/>
  <c r="E138" i="107" s="1"/>
  <c r="D138" i="107" a="1"/>
  <c r="D138" i="107" s="1"/>
  <c r="AH137" i="107" a="1"/>
  <c r="AH137" i="107" s="1"/>
  <c r="AG137" i="107" a="1"/>
  <c r="AG137" i="107" s="1"/>
  <c r="AF137" i="107" a="1"/>
  <c r="AF137" i="107" s="1"/>
  <c r="AE137" i="107" a="1"/>
  <c r="AE137" i="107" s="1"/>
  <c r="AD137" i="107" a="1"/>
  <c r="AD137" i="107" s="1"/>
  <c r="AC137" i="107" a="1"/>
  <c r="AC137" i="107" s="1"/>
  <c r="AB137" i="107" a="1"/>
  <c r="AB137" i="107" s="1"/>
  <c r="AA137" i="107" a="1"/>
  <c r="AA137" i="107" s="1"/>
  <c r="Z137" i="107" a="1"/>
  <c r="Z137" i="107" s="1"/>
  <c r="Y137" i="107" a="1"/>
  <c r="Y137" i="107" s="1"/>
  <c r="X137" i="107" a="1"/>
  <c r="X137" i="107" s="1"/>
  <c r="W137" i="107" a="1"/>
  <c r="W137" i="107" s="1"/>
  <c r="V137" i="107" a="1"/>
  <c r="V137" i="107" s="1"/>
  <c r="U137" i="107" a="1"/>
  <c r="U137" i="107" s="1"/>
  <c r="T137" i="107" a="1"/>
  <c r="T137" i="107" s="1"/>
  <c r="S137" i="107" a="1"/>
  <c r="S137" i="107" s="1"/>
  <c r="R137" i="107" a="1"/>
  <c r="R137" i="107" s="1"/>
  <c r="Q137" i="107" a="1"/>
  <c r="Q137" i="107" s="1"/>
  <c r="P137" i="107" a="1"/>
  <c r="P137" i="107" s="1"/>
  <c r="O137" i="107" a="1"/>
  <c r="O137" i="107" s="1"/>
  <c r="N137" i="107" a="1"/>
  <c r="N137" i="107" s="1"/>
  <c r="M137" i="107" a="1"/>
  <c r="M137" i="107" s="1"/>
  <c r="L137" i="107" a="1"/>
  <c r="L137" i="107" s="1"/>
  <c r="K137" i="107" a="1"/>
  <c r="K137" i="107" s="1"/>
  <c r="J137" i="107" a="1"/>
  <c r="J137" i="107" s="1"/>
  <c r="I137" i="107" a="1"/>
  <c r="I137" i="107" s="1"/>
  <c r="H137" i="107" a="1"/>
  <c r="H137" i="107" s="1"/>
  <c r="G137" i="107" a="1"/>
  <c r="G137" i="107" s="1"/>
  <c r="F137" i="107" a="1"/>
  <c r="F137" i="107" s="1"/>
  <c r="E137" i="107" a="1"/>
  <c r="E137" i="107" s="1"/>
  <c r="D137" i="107" a="1"/>
  <c r="D137" i="107" s="1"/>
  <c r="AH136" i="107" a="1"/>
  <c r="AH136" i="107" s="1"/>
  <c r="AG136" i="107" a="1"/>
  <c r="AG136" i="107" s="1"/>
  <c r="AF136" i="107" a="1"/>
  <c r="AF136" i="107" s="1"/>
  <c r="AE136" i="107" a="1"/>
  <c r="AE136" i="107" s="1"/>
  <c r="AD136" i="107" a="1"/>
  <c r="AD136" i="107" s="1"/>
  <c r="AC136" i="107" a="1"/>
  <c r="AC136" i="107" s="1"/>
  <c r="AB136" i="107" a="1"/>
  <c r="AB136" i="107" s="1"/>
  <c r="AA136" i="107" a="1"/>
  <c r="AA136" i="107" s="1"/>
  <c r="Z136" i="107" a="1"/>
  <c r="Z136" i="107" s="1"/>
  <c r="Y136" i="107" a="1"/>
  <c r="Y136" i="107" s="1"/>
  <c r="X136" i="107" a="1"/>
  <c r="X136" i="107" s="1"/>
  <c r="W136" i="107" a="1"/>
  <c r="W136" i="107" s="1"/>
  <c r="V136" i="107" a="1"/>
  <c r="V136" i="107" s="1"/>
  <c r="U136" i="107" a="1"/>
  <c r="U136" i="107" s="1"/>
  <c r="T136" i="107" a="1"/>
  <c r="T136" i="107" s="1"/>
  <c r="S136" i="107" a="1"/>
  <c r="S136" i="107" s="1"/>
  <c r="R136" i="107" a="1"/>
  <c r="R136" i="107" s="1"/>
  <c r="Q136" i="107" a="1"/>
  <c r="Q136" i="107" s="1"/>
  <c r="P136" i="107" a="1"/>
  <c r="P136" i="107" s="1"/>
  <c r="O136" i="107" a="1"/>
  <c r="O136" i="107" s="1"/>
  <c r="N136" i="107" a="1"/>
  <c r="N136" i="107" s="1"/>
  <c r="M136" i="107" a="1"/>
  <c r="M136" i="107" s="1"/>
  <c r="L136" i="107" a="1"/>
  <c r="L136" i="107" s="1"/>
  <c r="K136" i="107" a="1"/>
  <c r="K136" i="107" s="1"/>
  <c r="J136" i="107" a="1"/>
  <c r="J136" i="107" s="1"/>
  <c r="I136" i="107" a="1"/>
  <c r="I136" i="107" s="1"/>
  <c r="H136" i="107" a="1"/>
  <c r="H136" i="107" s="1"/>
  <c r="G136" i="107" a="1"/>
  <c r="G136" i="107" s="1"/>
  <c r="F136" i="107" a="1"/>
  <c r="F136" i="107" s="1"/>
  <c r="E136" i="107" a="1"/>
  <c r="E136" i="107" s="1"/>
  <c r="D136" i="107" a="1"/>
  <c r="D136" i="107" s="1"/>
  <c r="AH135" i="107" a="1"/>
  <c r="AH135" i="107" s="1"/>
  <c r="AG135" i="107" a="1"/>
  <c r="AG135" i="107" s="1"/>
  <c r="AF135" i="107" a="1"/>
  <c r="AF135" i="107" s="1"/>
  <c r="AE135" i="107" a="1"/>
  <c r="AE135" i="107" s="1"/>
  <c r="AD135" i="107" a="1"/>
  <c r="AD135" i="107" s="1"/>
  <c r="AC135" i="107" a="1"/>
  <c r="AC135" i="107" s="1"/>
  <c r="AB135" i="107" a="1"/>
  <c r="AB135" i="107" s="1"/>
  <c r="AA135" i="107" a="1"/>
  <c r="AA135" i="107" s="1"/>
  <c r="Z135" i="107" a="1"/>
  <c r="Z135" i="107" s="1"/>
  <c r="Y135" i="107" a="1"/>
  <c r="Y135" i="107" s="1"/>
  <c r="X135" i="107" a="1"/>
  <c r="X135" i="107" s="1"/>
  <c r="W135" i="107" a="1"/>
  <c r="W135" i="107" s="1"/>
  <c r="V135" i="107" a="1"/>
  <c r="V135" i="107" s="1"/>
  <c r="U135" i="107" a="1"/>
  <c r="U135" i="107" s="1"/>
  <c r="T135" i="107" a="1"/>
  <c r="T135" i="107" s="1"/>
  <c r="S135" i="107" a="1"/>
  <c r="S135" i="107" s="1"/>
  <c r="R135" i="107" a="1"/>
  <c r="R135" i="107" s="1"/>
  <c r="Q135" i="107" a="1"/>
  <c r="Q135" i="107" s="1"/>
  <c r="P135" i="107" a="1"/>
  <c r="P135" i="107" s="1"/>
  <c r="O135" i="107" a="1"/>
  <c r="O135" i="107" s="1"/>
  <c r="N135" i="107" a="1"/>
  <c r="N135" i="107" s="1"/>
  <c r="M135" i="107" a="1"/>
  <c r="M135" i="107" s="1"/>
  <c r="L135" i="107" a="1"/>
  <c r="L135" i="107" s="1"/>
  <c r="K135" i="107" a="1"/>
  <c r="K135" i="107" s="1"/>
  <c r="J135" i="107" a="1"/>
  <c r="J135" i="107" s="1"/>
  <c r="I135" i="107" a="1"/>
  <c r="I135" i="107" s="1"/>
  <c r="H135" i="107" a="1"/>
  <c r="H135" i="107" s="1"/>
  <c r="G135" i="107" a="1"/>
  <c r="G135" i="107" s="1"/>
  <c r="F135" i="107" a="1"/>
  <c r="F135" i="107" s="1"/>
  <c r="E135" i="107" a="1"/>
  <c r="E135" i="107" s="1"/>
  <c r="D135" i="107" a="1"/>
  <c r="D135" i="107" s="1"/>
  <c r="AH134" i="107" a="1"/>
  <c r="AH134" i="107" s="1"/>
  <c r="AG134" i="107" a="1"/>
  <c r="AG134" i="107" s="1"/>
  <c r="AF134" i="107" a="1"/>
  <c r="AF134" i="107" s="1"/>
  <c r="AE134" i="107" a="1"/>
  <c r="AE134" i="107" s="1"/>
  <c r="AD134" i="107" a="1"/>
  <c r="AD134" i="107" s="1"/>
  <c r="AC134" i="107" a="1"/>
  <c r="AC134" i="107" s="1"/>
  <c r="AB134" i="107" a="1"/>
  <c r="AB134" i="107" s="1"/>
  <c r="AA134" i="107" a="1"/>
  <c r="AA134" i="107" s="1"/>
  <c r="Z134" i="107" a="1"/>
  <c r="Z134" i="107" s="1"/>
  <c r="Y134" i="107" a="1"/>
  <c r="Y134" i="107" s="1"/>
  <c r="X134" i="107" a="1"/>
  <c r="X134" i="107" s="1"/>
  <c r="W134" i="107" a="1"/>
  <c r="W134" i="107" s="1"/>
  <c r="V134" i="107" a="1"/>
  <c r="V134" i="107" s="1"/>
  <c r="U134" i="107" a="1"/>
  <c r="U134" i="107" s="1"/>
  <c r="T134" i="107" a="1"/>
  <c r="T134" i="107" s="1"/>
  <c r="S134" i="107" a="1"/>
  <c r="S134" i="107" s="1"/>
  <c r="R134" i="107" a="1"/>
  <c r="R134" i="107" s="1"/>
  <c r="Q134" i="107" a="1"/>
  <c r="Q134" i="107" s="1"/>
  <c r="P134" i="107" a="1"/>
  <c r="P134" i="107" s="1"/>
  <c r="O134" i="107" a="1"/>
  <c r="O134" i="107" s="1"/>
  <c r="N134" i="107" a="1"/>
  <c r="N134" i="107" s="1"/>
  <c r="M134" i="107" a="1"/>
  <c r="M134" i="107" s="1"/>
  <c r="L134" i="107" a="1"/>
  <c r="L134" i="107" s="1"/>
  <c r="K134" i="107" a="1"/>
  <c r="K134" i="107" s="1"/>
  <c r="J134" i="107" a="1"/>
  <c r="J134" i="107" s="1"/>
  <c r="I134" i="107" a="1"/>
  <c r="I134" i="107" s="1"/>
  <c r="H134" i="107" a="1"/>
  <c r="H134" i="107" s="1"/>
  <c r="G134" i="107" a="1"/>
  <c r="G134" i="107" s="1"/>
  <c r="F134" i="107" a="1"/>
  <c r="F134" i="107" s="1"/>
  <c r="E134" i="107" a="1"/>
  <c r="E134" i="107" s="1"/>
  <c r="D134" i="107" a="1"/>
  <c r="D134" i="107" s="1"/>
  <c r="AH133" i="107" a="1"/>
  <c r="AH133" i="107" s="1"/>
  <c r="AG133" i="107" a="1"/>
  <c r="AG133" i="107" s="1"/>
  <c r="AF133" i="107" a="1"/>
  <c r="AF133" i="107" s="1"/>
  <c r="AE133" i="107" a="1"/>
  <c r="AE133" i="107" s="1"/>
  <c r="AD133" i="107" a="1"/>
  <c r="AD133" i="107" s="1"/>
  <c r="AC133" i="107" a="1"/>
  <c r="AC133" i="107" s="1"/>
  <c r="AB133" i="107" a="1"/>
  <c r="AB133" i="107" s="1"/>
  <c r="AA133" i="107" a="1"/>
  <c r="AA133" i="107" s="1"/>
  <c r="Z133" i="107" a="1"/>
  <c r="Z133" i="107" s="1"/>
  <c r="Y133" i="107" a="1"/>
  <c r="Y133" i="107" s="1"/>
  <c r="X133" i="107" a="1"/>
  <c r="X133" i="107" s="1"/>
  <c r="W133" i="107" a="1"/>
  <c r="W133" i="107" s="1"/>
  <c r="V133" i="107" a="1"/>
  <c r="V133" i="107" s="1"/>
  <c r="U133" i="107" a="1"/>
  <c r="U133" i="107" s="1"/>
  <c r="T133" i="107" a="1"/>
  <c r="T133" i="107" s="1"/>
  <c r="S133" i="107" a="1"/>
  <c r="S133" i="107" s="1"/>
  <c r="R133" i="107" a="1"/>
  <c r="R133" i="107" s="1"/>
  <c r="Q133" i="107" a="1"/>
  <c r="Q133" i="107" s="1"/>
  <c r="P133" i="107" a="1"/>
  <c r="P133" i="107" s="1"/>
  <c r="O133" i="107" a="1"/>
  <c r="O133" i="107" s="1"/>
  <c r="N133" i="107" a="1"/>
  <c r="N133" i="107" s="1"/>
  <c r="M133" i="107" a="1"/>
  <c r="M133" i="107" s="1"/>
  <c r="L133" i="107" a="1"/>
  <c r="L133" i="107" s="1"/>
  <c r="K133" i="107" a="1"/>
  <c r="K133" i="107" s="1"/>
  <c r="J133" i="107" a="1"/>
  <c r="J133" i="107" s="1"/>
  <c r="I133" i="107" a="1"/>
  <c r="I133" i="107" s="1"/>
  <c r="H133" i="107" a="1"/>
  <c r="H133" i="107" s="1"/>
  <c r="G133" i="107" a="1"/>
  <c r="G133" i="107" s="1"/>
  <c r="F133" i="107" a="1"/>
  <c r="F133" i="107" s="1"/>
  <c r="E133" i="107" a="1"/>
  <c r="E133" i="107" s="1"/>
  <c r="D133" i="107" a="1"/>
  <c r="D133" i="107" s="1"/>
  <c r="AH132" i="107" a="1"/>
  <c r="AH132" i="107" s="1"/>
  <c r="AG132" i="107" a="1"/>
  <c r="AG132" i="107" s="1"/>
  <c r="AF132" i="107" a="1"/>
  <c r="AF132" i="107" s="1"/>
  <c r="AE132" i="107" a="1"/>
  <c r="AE132" i="107" s="1"/>
  <c r="AD132" i="107" a="1"/>
  <c r="AD132" i="107" s="1"/>
  <c r="AC132" i="107" a="1"/>
  <c r="AC132" i="107" s="1"/>
  <c r="AB132" i="107" a="1"/>
  <c r="AB132" i="107" s="1"/>
  <c r="AA132" i="107" a="1"/>
  <c r="AA132" i="107" s="1"/>
  <c r="Z132" i="107" a="1"/>
  <c r="Z132" i="107" s="1"/>
  <c r="Y132" i="107" a="1"/>
  <c r="Y132" i="107" s="1"/>
  <c r="X132" i="107" a="1"/>
  <c r="X132" i="107" s="1"/>
  <c r="W132" i="107" a="1"/>
  <c r="W132" i="107" s="1"/>
  <c r="V132" i="107" a="1"/>
  <c r="V132" i="107" s="1"/>
  <c r="U132" i="107" a="1"/>
  <c r="U132" i="107" s="1"/>
  <c r="T132" i="107" a="1"/>
  <c r="T132" i="107" s="1"/>
  <c r="S132" i="107" a="1"/>
  <c r="S132" i="107" s="1"/>
  <c r="R132" i="107" a="1"/>
  <c r="R132" i="107" s="1"/>
  <c r="Q132" i="107" a="1"/>
  <c r="Q132" i="107" s="1"/>
  <c r="P132" i="107" a="1"/>
  <c r="P132" i="107" s="1"/>
  <c r="O132" i="107" a="1"/>
  <c r="O132" i="107" s="1"/>
  <c r="N132" i="107" a="1"/>
  <c r="N132" i="107" s="1"/>
  <c r="M132" i="107" a="1"/>
  <c r="M132" i="107" s="1"/>
  <c r="L132" i="107" a="1"/>
  <c r="L132" i="107" s="1"/>
  <c r="K132" i="107" a="1"/>
  <c r="K132" i="107" s="1"/>
  <c r="J132" i="107" a="1"/>
  <c r="J132" i="107" s="1"/>
  <c r="I132" i="107" a="1"/>
  <c r="I132" i="107" s="1"/>
  <c r="H132" i="107" a="1"/>
  <c r="H132" i="107" s="1"/>
  <c r="G132" i="107" a="1"/>
  <c r="G132" i="107" s="1"/>
  <c r="F132" i="107" a="1"/>
  <c r="F132" i="107" s="1"/>
  <c r="E132" i="107" a="1"/>
  <c r="E132" i="107" s="1"/>
  <c r="D132" i="107" a="1"/>
  <c r="D132" i="107" s="1"/>
  <c r="AH131" i="107" a="1"/>
  <c r="AH131" i="107" s="1"/>
  <c r="AG131" i="107" a="1"/>
  <c r="AG131" i="107" s="1"/>
  <c r="AF131" i="107" a="1"/>
  <c r="AF131" i="107" s="1"/>
  <c r="AE131" i="107" a="1"/>
  <c r="AE131" i="107" s="1"/>
  <c r="AD131" i="107" a="1"/>
  <c r="AD131" i="107" s="1"/>
  <c r="AC131" i="107" a="1"/>
  <c r="AC131" i="107" s="1"/>
  <c r="AB131" i="107" a="1"/>
  <c r="AB131" i="107" s="1"/>
  <c r="AA131" i="107" a="1"/>
  <c r="AA131" i="107" s="1"/>
  <c r="Z131" i="107" a="1"/>
  <c r="Z131" i="107" s="1"/>
  <c r="Y131" i="107" a="1"/>
  <c r="Y131" i="107" s="1"/>
  <c r="X131" i="107" a="1"/>
  <c r="X131" i="107" s="1"/>
  <c r="W131" i="107" a="1"/>
  <c r="W131" i="107" s="1"/>
  <c r="V131" i="107" a="1"/>
  <c r="V131" i="107" s="1"/>
  <c r="U131" i="107" a="1"/>
  <c r="U131" i="107" s="1"/>
  <c r="T131" i="107" a="1"/>
  <c r="T131" i="107" s="1"/>
  <c r="S131" i="107" a="1"/>
  <c r="S131" i="107" s="1"/>
  <c r="R131" i="107" a="1"/>
  <c r="R131" i="107" s="1"/>
  <c r="Q131" i="107" a="1"/>
  <c r="Q131" i="107" s="1"/>
  <c r="P131" i="107" a="1"/>
  <c r="P131" i="107" s="1"/>
  <c r="O131" i="107" a="1"/>
  <c r="O131" i="107" s="1"/>
  <c r="N131" i="107" a="1"/>
  <c r="N131" i="107" s="1"/>
  <c r="M131" i="107" a="1"/>
  <c r="M131" i="107" s="1"/>
  <c r="L131" i="107" a="1"/>
  <c r="L131" i="107" s="1"/>
  <c r="K131" i="107" a="1"/>
  <c r="K131" i="107" s="1"/>
  <c r="J131" i="107" a="1"/>
  <c r="J131" i="107" s="1"/>
  <c r="I131" i="107" a="1"/>
  <c r="I131" i="107" s="1"/>
  <c r="H131" i="107" a="1"/>
  <c r="H131" i="107" s="1"/>
  <c r="G131" i="107" a="1"/>
  <c r="G131" i="107" s="1"/>
  <c r="F131" i="107" a="1"/>
  <c r="F131" i="107" s="1"/>
  <c r="E131" i="107" a="1"/>
  <c r="E131" i="107" s="1"/>
  <c r="D131" i="107" a="1"/>
  <c r="D131" i="107" s="1"/>
  <c r="AH130" i="107" a="1"/>
  <c r="AH130" i="107" s="1"/>
  <c r="AG130" i="107" a="1"/>
  <c r="AG130" i="107" s="1"/>
  <c r="AF130" i="107" a="1"/>
  <c r="AF130" i="107" s="1"/>
  <c r="AE130" i="107" a="1"/>
  <c r="AE130" i="107" s="1"/>
  <c r="AD130" i="107" a="1"/>
  <c r="AD130" i="107" s="1"/>
  <c r="AC130" i="107" a="1"/>
  <c r="AC130" i="107" s="1"/>
  <c r="AB130" i="107" a="1"/>
  <c r="AB130" i="107" s="1"/>
  <c r="AA130" i="107" a="1"/>
  <c r="AA130" i="107" s="1"/>
  <c r="Z130" i="107" a="1"/>
  <c r="Z130" i="107" s="1"/>
  <c r="Y130" i="107" a="1"/>
  <c r="Y130" i="107" s="1"/>
  <c r="X130" i="107" a="1"/>
  <c r="X130" i="107" s="1"/>
  <c r="W130" i="107" a="1"/>
  <c r="W130" i="107" s="1"/>
  <c r="V130" i="107" a="1"/>
  <c r="V130" i="107" s="1"/>
  <c r="U130" i="107" a="1"/>
  <c r="U130" i="107" s="1"/>
  <c r="T130" i="107" a="1"/>
  <c r="T130" i="107" s="1"/>
  <c r="S130" i="107" a="1"/>
  <c r="S130" i="107" s="1"/>
  <c r="R130" i="107" a="1"/>
  <c r="R130" i="107" s="1"/>
  <c r="Q130" i="107" a="1"/>
  <c r="Q130" i="107" s="1"/>
  <c r="P130" i="107" a="1"/>
  <c r="P130" i="107" s="1"/>
  <c r="O130" i="107" a="1"/>
  <c r="O130" i="107" s="1"/>
  <c r="N130" i="107" a="1"/>
  <c r="N130" i="107" s="1"/>
  <c r="M130" i="107" a="1"/>
  <c r="M130" i="107" s="1"/>
  <c r="L130" i="107" a="1"/>
  <c r="L130" i="107" s="1"/>
  <c r="K130" i="107" a="1"/>
  <c r="K130" i="107" s="1"/>
  <c r="J130" i="107" a="1"/>
  <c r="J130" i="107" s="1"/>
  <c r="I130" i="107" a="1"/>
  <c r="I130" i="107" s="1"/>
  <c r="H130" i="107" a="1"/>
  <c r="H130" i="107" s="1"/>
  <c r="G130" i="107" a="1"/>
  <c r="G130" i="107" s="1"/>
  <c r="F130" i="107" a="1"/>
  <c r="F130" i="107" s="1"/>
  <c r="E130" i="107" a="1"/>
  <c r="E130" i="107" s="1"/>
  <c r="D130" i="107" a="1"/>
  <c r="D130" i="107" s="1"/>
  <c r="AH129" i="107" a="1"/>
  <c r="AH129" i="107" s="1"/>
  <c r="AG129" i="107" a="1"/>
  <c r="AG129" i="107" s="1"/>
  <c r="AF129" i="107" a="1"/>
  <c r="AF129" i="107" s="1"/>
  <c r="AE129" i="107" a="1"/>
  <c r="AE129" i="107" s="1"/>
  <c r="AD129" i="107" a="1"/>
  <c r="AD129" i="107" s="1"/>
  <c r="AC129" i="107" a="1"/>
  <c r="AC129" i="107" s="1"/>
  <c r="AB129" i="107" a="1"/>
  <c r="AB129" i="107" s="1"/>
  <c r="AA129" i="107" a="1"/>
  <c r="AA129" i="107" s="1"/>
  <c r="Z129" i="107" a="1"/>
  <c r="Z129" i="107" s="1"/>
  <c r="Y129" i="107" a="1"/>
  <c r="Y129" i="107" s="1"/>
  <c r="X129" i="107" a="1"/>
  <c r="X129" i="107" s="1"/>
  <c r="W129" i="107" a="1"/>
  <c r="W129" i="107" s="1"/>
  <c r="V129" i="107" a="1"/>
  <c r="V129" i="107" s="1"/>
  <c r="U129" i="107" a="1"/>
  <c r="U129" i="107" s="1"/>
  <c r="T129" i="107" a="1"/>
  <c r="T129" i="107" s="1"/>
  <c r="S129" i="107" a="1"/>
  <c r="S129" i="107" s="1"/>
  <c r="R129" i="107" a="1"/>
  <c r="R129" i="107" s="1"/>
  <c r="Q129" i="107" a="1"/>
  <c r="Q129" i="107" s="1"/>
  <c r="P129" i="107" a="1"/>
  <c r="P129" i="107" s="1"/>
  <c r="O129" i="107" a="1"/>
  <c r="O129" i="107" s="1"/>
  <c r="N129" i="107" a="1"/>
  <c r="N129" i="107" s="1"/>
  <c r="M129" i="107" a="1"/>
  <c r="M129" i="107" s="1"/>
  <c r="L129" i="107" a="1"/>
  <c r="L129" i="107" s="1"/>
  <c r="K129" i="107" a="1"/>
  <c r="K129" i="107" s="1"/>
  <c r="J129" i="107" a="1"/>
  <c r="J129" i="107" s="1"/>
  <c r="I129" i="107" a="1"/>
  <c r="I129" i="107" s="1"/>
  <c r="H129" i="107" a="1"/>
  <c r="H129" i="107" s="1"/>
  <c r="G129" i="107" a="1"/>
  <c r="G129" i="107" s="1"/>
  <c r="F129" i="107" a="1"/>
  <c r="F129" i="107" s="1"/>
  <c r="E129" i="107" a="1"/>
  <c r="E129" i="107" s="1"/>
  <c r="D129" i="107" a="1"/>
  <c r="D129" i="107" s="1"/>
  <c r="AH128" i="107" a="1"/>
  <c r="AH128" i="107" s="1"/>
  <c r="AG128" i="107" a="1"/>
  <c r="AG128" i="107" s="1"/>
  <c r="AF128" i="107" a="1"/>
  <c r="AF128" i="107" s="1"/>
  <c r="AE128" i="107" a="1"/>
  <c r="AE128" i="107" s="1"/>
  <c r="AD128" i="107" a="1"/>
  <c r="AD128" i="107" s="1"/>
  <c r="AC128" i="107" a="1"/>
  <c r="AC128" i="107" s="1"/>
  <c r="AB128" i="107" a="1"/>
  <c r="AB128" i="107" s="1"/>
  <c r="AA128" i="107" a="1"/>
  <c r="AA128" i="107" s="1"/>
  <c r="Z128" i="107" a="1"/>
  <c r="Z128" i="107" s="1"/>
  <c r="Y128" i="107" a="1"/>
  <c r="Y128" i="107" s="1"/>
  <c r="X128" i="107" a="1"/>
  <c r="X128" i="107" s="1"/>
  <c r="W128" i="107" a="1"/>
  <c r="W128" i="107" s="1"/>
  <c r="V128" i="107" a="1"/>
  <c r="V128" i="107" s="1"/>
  <c r="U128" i="107" a="1"/>
  <c r="U128" i="107" s="1"/>
  <c r="T128" i="107" a="1"/>
  <c r="T128" i="107" s="1"/>
  <c r="S128" i="107" a="1"/>
  <c r="S128" i="107" s="1"/>
  <c r="R128" i="107" a="1"/>
  <c r="R128" i="107" s="1"/>
  <c r="Q128" i="107" a="1"/>
  <c r="Q128" i="107" s="1"/>
  <c r="P128" i="107" a="1"/>
  <c r="P128" i="107" s="1"/>
  <c r="O128" i="107" a="1"/>
  <c r="O128" i="107" s="1"/>
  <c r="N128" i="107" a="1"/>
  <c r="N128" i="107" s="1"/>
  <c r="M128" i="107" a="1"/>
  <c r="M128" i="107" s="1"/>
  <c r="L128" i="107" a="1"/>
  <c r="L128" i="107" s="1"/>
  <c r="K128" i="107" a="1"/>
  <c r="K128" i="107" s="1"/>
  <c r="J128" i="107" a="1"/>
  <c r="J128" i="107" s="1"/>
  <c r="I128" i="107" a="1"/>
  <c r="I128" i="107" s="1"/>
  <c r="H128" i="107" a="1"/>
  <c r="H128" i="107" s="1"/>
  <c r="G128" i="107" a="1"/>
  <c r="G128" i="107" s="1"/>
  <c r="F128" i="107" a="1"/>
  <c r="F128" i="107" s="1"/>
  <c r="E128" i="107" a="1"/>
  <c r="E128" i="107" s="1"/>
  <c r="D128" i="107" a="1"/>
  <c r="D128" i="107" s="1"/>
  <c r="AH127" i="107" a="1"/>
  <c r="AH127" i="107" s="1"/>
  <c r="AG127" i="107" a="1"/>
  <c r="AG127" i="107" s="1"/>
  <c r="AF127" i="107" a="1"/>
  <c r="AF127" i="107" s="1"/>
  <c r="AE127" i="107" a="1"/>
  <c r="AE127" i="107" s="1"/>
  <c r="AD127" i="107" a="1"/>
  <c r="AD127" i="107" s="1"/>
  <c r="AC127" i="107" a="1"/>
  <c r="AC127" i="107" s="1"/>
  <c r="AB127" i="107" a="1"/>
  <c r="AB127" i="107" s="1"/>
  <c r="AA127" i="107" a="1"/>
  <c r="AA127" i="107" s="1"/>
  <c r="Z127" i="107" a="1"/>
  <c r="Z127" i="107" s="1"/>
  <c r="Y127" i="107" a="1"/>
  <c r="Y127" i="107" s="1"/>
  <c r="X127" i="107" a="1"/>
  <c r="X127" i="107" s="1"/>
  <c r="W127" i="107" a="1"/>
  <c r="W127" i="107" s="1"/>
  <c r="V127" i="107" a="1"/>
  <c r="V127" i="107" s="1"/>
  <c r="U127" i="107" a="1"/>
  <c r="U127" i="107" s="1"/>
  <c r="T127" i="107" a="1"/>
  <c r="T127" i="107" s="1"/>
  <c r="S127" i="107" a="1"/>
  <c r="S127" i="107" s="1"/>
  <c r="R127" i="107" a="1"/>
  <c r="R127" i="107" s="1"/>
  <c r="Q127" i="107" a="1"/>
  <c r="Q127" i="107" s="1"/>
  <c r="P127" i="107" a="1"/>
  <c r="P127" i="107" s="1"/>
  <c r="O127" i="107" a="1"/>
  <c r="O127" i="107" s="1"/>
  <c r="N127" i="107" a="1"/>
  <c r="N127" i="107" s="1"/>
  <c r="M127" i="107" a="1"/>
  <c r="M127" i="107" s="1"/>
  <c r="L127" i="107" a="1"/>
  <c r="L127" i="107" s="1"/>
  <c r="K127" i="107" a="1"/>
  <c r="K127" i="107" s="1"/>
  <c r="J127" i="107" a="1"/>
  <c r="J127" i="107" s="1"/>
  <c r="I127" i="107" a="1"/>
  <c r="I127" i="107" s="1"/>
  <c r="H127" i="107" a="1"/>
  <c r="H127" i="107" s="1"/>
  <c r="G127" i="107" a="1"/>
  <c r="G127" i="107" s="1"/>
  <c r="F127" i="107" a="1"/>
  <c r="F127" i="107" s="1"/>
  <c r="E127" i="107" a="1"/>
  <c r="E127" i="107" s="1"/>
  <c r="D127" i="107" a="1"/>
  <c r="D127" i="107" s="1"/>
  <c r="AH126" i="107" a="1"/>
  <c r="AH126" i="107" s="1"/>
  <c r="AG126" i="107" a="1"/>
  <c r="AG126" i="107" s="1"/>
  <c r="AF126" i="107" a="1"/>
  <c r="AF126" i="107" s="1"/>
  <c r="AE126" i="107" a="1"/>
  <c r="AE126" i="107" s="1"/>
  <c r="AD126" i="107" a="1"/>
  <c r="AD126" i="107" s="1"/>
  <c r="AC126" i="107" a="1"/>
  <c r="AC126" i="107" s="1"/>
  <c r="AB126" i="107" a="1"/>
  <c r="AB126" i="107" s="1"/>
  <c r="AA126" i="107" a="1"/>
  <c r="AA126" i="107" s="1"/>
  <c r="Z126" i="107" a="1"/>
  <c r="Z126" i="107" s="1"/>
  <c r="Y126" i="107" a="1"/>
  <c r="Y126" i="107" s="1"/>
  <c r="X126" i="107" a="1"/>
  <c r="X126" i="107" s="1"/>
  <c r="W126" i="107" a="1"/>
  <c r="W126" i="107" s="1"/>
  <c r="V126" i="107" a="1"/>
  <c r="V126" i="107" s="1"/>
  <c r="U126" i="107" a="1"/>
  <c r="U126" i="107" s="1"/>
  <c r="T126" i="107" a="1"/>
  <c r="T126" i="107" s="1"/>
  <c r="S126" i="107" a="1"/>
  <c r="S126" i="107" s="1"/>
  <c r="R126" i="107" a="1"/>
  <c r="R126" i="107" s="1"/>
  <c r="Q126" i="107" a="1"/>
  <c r="Q126" i="107" s="1"/>
  <c r="P126" i="107" a="1"/>
  <c r="P126" i="107" s="1"/>
  <c r="O126" i="107" a="1"/>
  <c r="O126" i="107" s="1"/>
  <c r="N126" i="107" a="1"/>
  <c r="N126" i="107" s="1"/>
  <c r="M126" i="107" a="1"/>
  <c r="M126" i="107" s="1"/>
  <c r="L126" i="107" a="1"/>
  <c r="L126" i="107" s="1"/>
  <c r="K126" i="107" a="1"/>
  <c r="K126" i="107" s="1"/>
  <c r="J126" i="107" a="1"/>
  <c r="J126" i="107" s="1"/>
  <c r="I126" i="107" a="1"/>
  <c r="I126" i="107" s="1"/>
  <c r="H126" i="107" a="1"/>
  <c r="H126" i="107" s="1"/>
  <c r="G126" i="107" a="1"/>
  <c r="G126" i="107" s="1"/>
  <c r="F126" i="107" a="1"/>
  <c r="F126" i="107" s="1"/>
  <c r="E126" i="107" a="1"/>
  <c r="E126" i="107" s="1"/>
  <c r="D126" i="107" a="1"/>
  <c r="D126" i="107" s="1"/>
  <c r="AH125" i="107" a="1"/>
  <c r="AH125" i="107" s="1"/>
  <c r="AG125" i="107" a="1"/>
  <c r="AG125" i="107" s="1"/>
  <c r="AF125" i="107" a="1"/>
  <c r="AF125" i="107" s="1"/>
  <c r="AE125" i="107" a="1"/>
  <c r="AE125" i="107" s="1"/>
  <c r="AD125" i="107" a="1"/>
  <c r="AD125" i="107" s="1"/>
  <c r="AC125" i="107" a="1"/>
  <c r="AC125" i="107" s="1"/>
  <c r="AB125" i="107" a="1"/>
  <c r="AB125" i="107" s="1"/>
  <c r="AA125" i="107" a="1"/>
  <c r="AA125" i="107" s="1"/>
  <c r="Z125" i="107" a="1"/>
  <c r="Z125" i="107" s="1"/>
  <c r="Y125" i="107" a="1"/>
  <c r="Y125" i="107" s="1"/>
  <c r="X125" i="107" a="1"/>
  <c r="X125" i="107" s="1"/>
  <c r="W125" i="107" a="1"/>
  <c r="W125" i="107" s="1"/>
  <c r="V125" i="107" a="1"/>
  <c r="V125" i="107" s="1"/>
  <c r="U125" i="107" a="1"/>
  <c r="U125" i="107" s="1"/>
  <c r="T125" i="107" a="1"/>
  <c r="T125" i="107" s="1"/>
  <c r="S125" i="107" a="1"/>
  <c r="S125" i="107" s="1"/>
  <c r="R125" i="107" a="1"/>
  <c r="R125" i="107" s="1"/>
  <c r="Q125" i="107" a="1"/>
  <c r="Q125" i="107" s="1"/>
  <c r="P125" i="107" a="1"/>
  <c r="P125" i="107" s="1"/>
  <c r="O125" i="107" a="1"/>
  <c r="O125" i="107" s="1"/>
  <c r="N125" i="107" a="1"/>
  <c r="N125" i="107" s="1"/>
  <c r="M125" i="107" a="1"/>
  <c r="M125" i="107" s="1"/>
  <c r="L125" i="107" a="1"/>
  <c r="L125" i="107" s="1"/>
  <c r="K125" i="107" a="1"/>
  <c r="K125" i="107" s="1"/>
  <c r="J125" i="107" a="1"/>
  <c r="J125" i="107" s="1"/>
  <c r="I125" i="107" a="1"/>
  <c r="I125" i="107" s="1"/>
  <c r="H125" i="107" a="1"/>
  <c r="H125" i="107" s="1"/>
  <c r="G125" i="107" a="1"/>
  <c r="G125" i="107" s="1"/>
  <c r="F125" i="107" a="1"/>
  <c r="F125" i="107" s="1"/>
  <c r="E125" i="107" a="1"/>
  <c r="E125" i="107" s="1"/>
  <c r="D125" i="107" a="1"/>
  <c r="D125" i="107" s="1"/>
  <c r="AH124" i="107" a="1"/>
  <c r="AH124" i="107" s="1"/>
  <c r="AG124" i="107" a="1"/>
  <c r="AG124" i="107" s="1"/>
  <c r="AF124" i="107" a="1"/>
  <c r="AF124" i="107" s="1"/>
  <c r="AE124" i="107" a="1"/>
  <c r="AE124" i="107" s="1"/>
  <c r="AD124" i="107" a="1"/>
  <c r="AD124" i="107" s="1"/>
  <c r="AC124" i="107" a="1"/>
  <c r="AC124" i="107" s="1"/>
  <c r="AB124" i="107" a="1"/>
  <c r="AB124" i="107" s="1"/>
  <c r="AA124" i="107" a="1"/>
  <c r="AA124" i="107" s="1"/>
  <c r="Z124" i="107" a="1"/>
  <c r="Z124" i="107" s="1"/>
  <c r="Y124" i="107" a="1"/>
  <c r="Y124" i="107" s="1"/>
  <c r="X124" i="107" a="1"/>
  <c r="X124" i="107" s="1"/>
  <c r="W124" i="107" a="1"/>
  <c r="W124" i="107" s="1"/>
  <c r="V124" i="107" a="1"/>
  <c r="V124" i="107" s="1"/>
  <c r="U124" i="107" a="1"/>
  <c r="U124" i="107" s="1"/>
  <c r="T124" i="107" a="1"/>
  <c r="T124" i="107" s="1"/>
  <c r="S124" i="107" a="1"/>
  <c r="S124" i="107" s="1"/>
  <c r="R124" i="107" a="1"/>
  <c r="R124" i="107" s="1"/>
  <c r="Q124" i="107" a="1"/>
  <c r="Q124" i="107" s="1"/>
  <c r="P124" i="107" a="1"/>
  <c r="P124" i="107" s="1"/>
  <c r="O124" i="107" a="1"/>
  <c r="O124" i="107" s="1"/>
  <c r="N124" i="107" a="1"/>
  <c r="N124" i="107" s="1"/>
  <c r="M124" i="107" a="1"/>
  <c r="M124" i="107" s="1"/>
  <c r="L124" i="107" a="1"/>
  <c r="L124" i="107" s="1"/>
  <c r="K124" i="107" a="1"/>
  <c r="K124" i="107" s="1"/>
  <c r="J124" i="107" a="1"/>
  <c r="J124" i="107" s="1"/>
  <c r="I124" i="107" a="1"/>
  <c r="I124" i="107" s="1"/>
  <c r="H124" i="107" a="1"/>
  <c r="H124" i="107" s="1"/>
  <c r="G124" i="107" a="1"/>
  <c r="G124" i="107" s="1"/>
  <c r="F124" i="107" a="1"/>
  <c r="F124" i="107" s="1"/>
  <c r="E124" i="107" a="1"/>
  <c r="E124" i="107" s="1"/>
  <c r="D124" i="107" a="1"/>
  <c r="D124" i="107" s="1"/>
  <c r="AH123" i="107" a="1"/>
  <c r="AH123" i="107" s="1"/>
  <c r="AG123" i="107" a="1"/>
  <c r="AG123" i="107" s="1"/>
  <c r="AF123" i="107" a="1"/>
  <c r="AF123" i="107" s="1"/>
  <c r="AE123" i="107" a="1"/>
  <c r="AE123" i="107" s="1"/>
  <c r="AD123" i="107" a="1"/>
  <c r="AD123" i="107" s="1"/>
  <c r="AC123" i="107" a="1"/>
  <c r="AC123" i="107" s="1"/>
  <c r="AB123" i="107" a="1"/>
  <c r="AB123" i="107" s="1"/>
  <c r="AA123" i="107" a="1"/>
  <c r="AA123" i="107" s="1"/>
  <c r="Z123" i="107" a="1"/>
  <c r="Z123" i="107" s="1"/>
  <c r="Y123" i="107" a="1"/>
  <c r="Y123" i="107" s="1"/>
  <c r="X123" i="107" a="1"/>
  <c r="X123" i="107" s="1"/>
  <c r="W123" i="107" a="1"/>
  <c r="W123" i="107" s="1"/>
  <c r="V123" i="107" a="1"/>
  <c r="V123" i="107" s="1"/>
  <c r="U123" i="107" a="1"/>
  <c r="U123" i="107" s="1"/>
  <c r="T123" i="107" a="1"/>
  <c r="T123" i="107" s="1"/>
  <c r="S123" i="107" a="1"/>
  <c r="S123" i="107" s="1"/>
  <c r="R123" i="107" a="1"/>
  <c r="R123" i="107" s="1"/>
  <c r="Q123" i="107" a="1"/>
  <c r="Q123" i="107" s="1"/>
  <c r="P123" i="107" a="1"/>
  <c r="P123" i="107" s="1"/>
  <c r="O123" i="107" a="1"/>
  <c r="O123" i="107" s="1"/>
  <c r="N123" i="107" a="1"/>
  <c r="N123" i="107" s="1"/>
  <c r="M123" i="107" a="1"/>
  <c r="M123" i="107" s="1"/>
  <c r="L123" i="107" a="1"/>
  <c r="L123" i="107" s="1"/>
  <c r="K123" i="107" a="1"/>
  <c r="K123" i="107" s="1"/>
  <c r="J123" i="107" a="1"/>
  <c r="J123" i="107" s="1"/>
  <c r="I123" i="107" a="1"/>
  <c r="I123" i="107" s="1"/>
  <c r="H123" i="107" a="1"/>
  <c r="H123" i="107" s="1"/>
  <c r="G123" i="107" a="1"/>
  <c r="G123" i="107" s="1"/>
  <c r="F123" i="107" a="1"/>
  <c r="F123" i="107" s="1"/>
  <c r="E123" i="107" a="1"/>
  <c r="E123" i="107" s="1"/>
  <c r="D123" i="107" a="1"/>
  <c r="D123" i="107" s="1"/>
  <c r="AH122" i="107" a="1"/>
  <c r="AH122" i="107" s="1"/>
  <c r="AG122" i="107" a="1"/>
  <c r="AG122" i="107" s="1"/>
  <c r="AF122" i="107" a="1"/>
  <c r="AF122" i="107" s="1"/>
  <c r="AE122" i="107" a="1"/>
  <c r="AE122" i="107" s="1"/>
  <c r="AD122" i="107" a="1"/>
  <c r="AD122" i="107" s="1"/>
  <c r="AC122" i="107" a="1"/>
  <c r="AC122" i="107" s="1"/>
  <c r="AB122" i="107" a="1"/>
  <c r="AB122" i="107" s="1"/>
  <c r="AA122" i="107" a="1"/>
  <c r="AA122" i="107" s="1"/>
  <c r="Z122" i="107" a="1"/>
  <c r="Z122" i="107" s="1"/>
  <c r="Y122" i="107" a="1"/>
  <c r="Y122" i="107" s="1"/>
  <c r="X122" i="107" a="1"/>
  <c r="X122" i="107" s="1"/>
  <c r="W122" i="107" a="1"/>
  <c r="W122" i="107" s="1"/>
  <c r="V122" i="107" a="1"/>
  <c r="V122" i="107" s="1"/>
  <c r="U122" i="107" a="1"/>
  <c r="U122" i="107" s="1"/>
  <c r="T122" i="107" a="1"/>
  <c r="T122" i="107" s="1"/>
  <c r="S122" i="107" a="1"/>
  <c r="S122" i="107" s="1"/>
  <c r="R122" i="107" a="1"/>
  <c r="R122" i="107" s="1"/>
  <c r="Q122" i="107" a="1"/>
  <c r="Q122" i="107" s="1"/>
  <c r="P122" i="107" a="1"/>
  <c r="P122" i="107" s="1"/>
  <c r="O122" i="107" a="1"/>
  <c r="O122" i="107" s="1"/>
  <c r="N122" i="107" a="1"/>
  <c r="N122" i="107" s="1"/>
  <c r="M122" i="107" a="1"/>
  <c r="M122" i="107" s="1"/>
  <c r="L122" i="107" a="1"/>
  <c r="L122" i="107" s="1"/>
  <c r="K122" i="107" a="1"/>
  <c r="K122" i="107" s="1"/>
  <c r="J122" i="107" a="1"/>
  <c r="J122" i="107" s="1"/>
  <c r="I122" i="107" a="1"/>
  <c r="I122" i="107" s="1"/>
  <c r="H122" i="107" a="1"/>
  <c r="H122" i="107" s="1"/>
  <c r="G122" i="107" a="1"/>
  <c r="G122" i="107" s="1"/>
  <c r="F122" i="107" a="1"/>
  <c r="F122" i="107" s="1"/>
  <c r="E122" i="107" a="1"/>
  <c r="E122" i="107" s="1"/>
  <c r="D122" i="107" a="1"/>
  <c r="D122" i="107" s="1"/>
  <c r="AH121" i="107" a="1"/>
  <c r="AH121" i="107" s="1"/>
  <c r="AG121" i="107" a="1"/>
  <c r="AG121" i="107" s="1"/>
  <c r="AF121" i="107" a="1"/>
  <c r="AF121" i="107" s="1"/>
  <c r="AE121" i="107" a="1"/>
  <c r="AE121" i="107" s="1"/>
  <c r="AD121" i="107" a="1"/>
  <c r="AD121" i="107" s="1"/>
  <c r="AC121" i="107" a="1"/>
  <c r="AC121" i="107" s="1"/>
  <c r="AB121" i="107" a="1"/>
  <c r="AB121" i="107" s="1"/>
  <c r="AA121" i="107" a="1"/>
  <c r="AA121" i="107" s="1"/>
  <c r="Z121" i="107" a="1"/>
  <c r="Z121" i="107" s="1"/>
  <c r="Y121" i="107" a="1"/>
  <c r="Y121" i="107" s="1"/>
  <c r="X121" i="107" a="1"/>
  <c r="X121" i="107" s="1"/>
  <c r="W121" i="107" a="1"/>
  <c r="W121" i="107" s="1"/>
  <c r="V121" i="107" a="1"/>
  <c r="V121" i="107" s="1"/>
  <c r="U121" i="107" a="1"/>
  <c r="U121" i="107" s="1"/>
  <c r="T121" i="107" a="1"/>
  <c r="T121" i="107" s="1"/>
  <c r="S121" i="107" a="1"/>
  <c r="S121" i="107" s="1"/>
  <c r="R121" i="107" a="1"/>
  <c r="R121" i="107" s="1"/>
  <c r="Q121" i="107" a="1"/>
  <c r="Q121" i="107" s="1"/>
  <c r="P121" i="107" a="1"/>
  <c r="P121" i="107" s="1"/>
  <c r="O121" i="107" a="1"/>
  <c r="O121" i="107" s="1"/>
  <c r="N121" i="107" a="1"/>
  <c r="N121" i="107" s="1"/>
  <c r="M121" i="107" a="1"/>
  <c r="M121" i="107" s="1"/>
  <c r="L121" i="107" a="1"/>
  <c r="L121" i="107" s="1"/>
  <c r="K121" i="107" a="1"/>
  <c r="K121" i="107" s="1"/>
  <c r="J121" i="107" a="1"/>
  <c r="J121" i="107" s="1"/>
  <c r="I121" i="107" a="1"/>
  <c r="I121" i="107" s="1"/>
  <c r="H121" i="107" a="1"/>
  <c r="H121" i="107" s="1"/>
  <c r="G121" i="107" a="1"/>
  <c r="G121" i="107" s="1"/>
  <c r="F121" i="107" a="1"/>
  <c r="F121" i="107" s="1"/>
  <c r="E121" i="107" a="1"/>
  <c r="E121" i="107" s="1"/>
  <c r="D121" i="107" a="1"/>
  <c r="D121" i="107" s="1"/>
  <c r="AH120" i="107" a="1"/>
  <c r="AH120" i="107" s="1"/>
  <c r="AG120" i="107" a="1"/>
  <c r="AG120" i="107" s="1"/>
  <c r="AF120" i="107" a="1"/>
  <c r="AF120" i="107" s="1"/>
  <c r="AE120" i="107" a="1"/>
  <c r="AE120" i="107" s="1"/>
  <c r="AD120" i="107" a="1"/>
  <c r="AD120" i="107" s="1"/>
  <c r="AC120" i="107" a="1"/>
  <c r="AC120" i="107" s="1"/>
  <c r="AB120" i="107" a="1"/>
  <c r="AB120" i="107" s="1"/>
  <c r="AA120" i="107" a="1"/>
  <c r="AA120" i="107" s="1"/>
  <c r="Z120" i="107" a="1"/>
  <c r="Z120" i="107" s="1"/>
  <c r="Y120" i="107" a="1"/>
  <c r="Y120" i="107" s="1"/>
  <c r="X120" i="107" a="1"/>
  <c r="X120" i="107" s="1"/>
  <c r="W120" i="107" a="1"/>
  <c r="W120" i="107" s="1"/>
  <c r="V120" i="107" a="1"/>
  <c r="V120" i="107" s="1"/>
  <c r="U120" i="107" a="1"/>
  <c r="U120" i="107" s="1"/>
  <c r="T120" i="107" a="1"/>
  <c r="T120" i="107" s="1"/>
  <c r="S120" i="107" a="1"/>
  <c r="S120" i="107" s="1"/>
  <c r="R120" i="107" a="1"/>
  <c r="R120" i="107" s="1"/>
  <c r="Q120" i="107" a="1"/>
  <c r="Q120" i="107" s="1"/>
  <c r="P120" i="107" a="1"/>
  <c r="P120" i="107" s="1"/>
  <c r="O120" i="107" a="1"/>
  <c r="O120" i="107" s="1"/>
  <c r="N120" i="107" a="1"/>
  <c r="N120" i="107" s="1"/>
  <c r="M120" i="107" a="1"/>
  <c r="M120" i="107" s="1"/>
  <c r="L120" i="107" a="1"/>
  <c r="L120" i="107" s="1"/>
  <c r="K120" i="107" a="1"/>
  <c r="K120" i="107" s="1"/>
  <c r="J120" i="107" a="1"/>
  <c r="J120" i="107" s="1"/>
  <c r="I120" i="107" a="1"/>
  <c r="I120" i="107" s="1"/>
  <c r="H120" i="107" a="1"/>
  <c r="H120" i="107" s="1"/>
  <c r="G120" i="107" a="1"/>
  <c r="G120" i="107" s="1"/>
  <c r="F120" i="107" a="1"/>
  <c r="F120" i="107" s="1"/>
  <c r="E120" i="107" a="1"/>
  <c r="E120" i="107" s="1"/>
  <c r="D120" i="107" a="1"/>
  <c r="D120" i="107" s="1"/>
  <c r="AH119" i="107" a="1"/>
  <c r="AH119" i="107" s="1"/>
  <c r="AG119" i="107" a="1"/>
  <c r="AG119" i="107" s="1"/>
  <c r="AF119" i="107" a="1"/>
  <c r="AF119" i="107" s="1"/>
  <c r="AE119" i="107" a="1"/>
  <c r="AE119" i="107" s="1"/>
  <c r="AD119" i="107" a="1"/>
  <c r="AD119" i="107" s="1"/>
  <c r="AC119" i="107" a="1"/>
  <c r="AC119" i="107" s="1"/>
  <c r="AB119" i="107" a="1"/>
  <c r="AB119" i="107" s="1"/>
  <c r="AA119" i="107" a="1"/>
  <c r="AA119" i="107" s="1"/>
  <c r="Z119" i="107" a="1"/>
  <c r="Z119" i="107" s="1"/>
  <c r="Y119" i="107" a="1"/>
  <c r="Y119" i="107" s="1"/>
  <c r="X119" i="107" a="1"/>
  <c r="X119" i="107" s="1"/>
  <c r="W119" i="107" a="1"/>
  <c r="W119" i="107" s="1"/>
  <c r="V119" i="107" a="1"/>
  <c r="V119" i="107" s="1"/>
  <c r="U119" i="107" a="1"/>
  <c r="U119" i="107" s="1"/>
  <c r="T119" i="107" a="1"/>
  <c r="T119" i="107" s="1"/>
  <c r="S119" i="107" a="1"/>
  <c r="S119" i="107" s="1"/>
  <c r="R119" i="107" a="1"/>
  <c r="R119" i="107" s="1"/>
  <c r="Q119" i="107" a="1"/>
  <c r="Q119" i="107" s="1"/>
  <c r="P119" i="107" a="1"/>
  <c r="P119" i="107" s="1"/>
  <c r="O119" i="107" a="1"/>
  <c r="O119" i="107" s="1"/>
  <c r="N119" i="107" a="1"/>
  <c r="N119" i="107" s="1"/>
  <c r="M119" i="107" a="1"/>
  <c r="M119" i="107" s="1"/>
  <c r="L119" i="107" a="1"/>
  <c r="L119" i="107" s="1"/>
  <c r="K119" i="107" a="1"/>
  <c r="K119" i="107" s="1"/>
  <c r="J119" i="107" a="1"/>
  <c r="J119" i="107" s="1"/>
  <c r="I119" i="107" a="1"/>
  <c r="I119" i="107" s="1"/>
  <c r="H119" i="107" a="1"/>
  <c r="H119" i="107" s="1"/>
  <c r="G119" i="107" a="1"/>
  <c r="G119" i="107" s="1"/>
  <c r="F119" i="107" a="1"/>
  <c r="F119" i="107" s="1"/>
  <c r="E119" i="107" a="1"/>
  <c r="E119" i="107" s="1"/>
  <c r="D119" i="107" a="1"/>
  <c r="D119" i="107" s="1"/>
  <c r="AH118" i="107" a="1"/>
  <c r="AH118" i="107" s="1"/>
  <c r="AG118" i="107" a="1"/>
  <c r="AG118" i="107" s="1"/>
  <c r="AF118" i="107" a="1"/>
  <c r="AF118" i="107" s="1"/>
  <c r="AE118" i="107" a="1"/>
  <c r="AE118" i="107" s="1"/>
  <c r="AD118" i="107" a="1"/>
  <c r="AD118" i="107" s="1"/>
  <c r="AC118" i="107" a="1"/>
  <c r="AC118" i="107" s="1"/>
  <c r="AB118" i="107" a="1"/>
  <c r="AB118" i="107" s="1"/>
  <c r="AA118" i="107" a="1"/>
  <c r="AA118" i="107" s="1"/>
  <c r="Z118" i="107" a="1"/>
  <c r="Z118" i="107" s="1"/>
  <c r="Y118" i="107" a="1"/>
  <c r="Y118" i="107" s="1"/>
  <c r="X118" i="107" a="1"/>
  <c r="X118" i="107" s="1"/>
  <c r="W118" i="107" a="1"/>
  <c r="W118" i="107" s="1"/>
  <c r="V118" i="107" a="1"/>
  <c r="V118" i="107" s="1"/>
  <c r="U118" i="107" a="1"/>
  <c r="U118" i="107" s="1"/>
  <c r="T118" i="107" a="1"/>
  <c r="T118" i="107" s="1"/>
  <c r="S118" i="107" a="1"/>
  <c r="S118" i="107" s="1"/>
  <c r="R118" i="107" a="1"/>
  <c r="R118" i="107" s="1"/>
  <c r="Q118" i="107" a="1"/>
  <c r="Q118" i="107" s="1"/>
  <c r="P118" i="107" a="1"/>
  <c r="P118" i="107" s="1"/>
  <c r="O118" i="107" a="1"/>
  <c r="O118" i="107" s="1"/>
  <c r="N118" i="107" a="1"/>
  <c r="N118" i="107" s="1"/>
  <c r="M118" i="107" a="1"/>
  <c r="M118" i="107" s="1"/>
  <c r="L118" i="107" a="1"/>
  <c r="L118" i="107" s="1"/>
  <c r="K118" i="107" a="1"/>
  <c r="K118" i="107" s="1"/>
  <c r="J118" i="107" a="1"/>
  <c r="J118" i="107" s="1"/>
  <c r="I118" i="107" a="1"/>
  <c r="I118" i="107" s="1"/>
  <c r="H118" i="107" a="1"/>
  <c r="H118" i="107" s="1"/>
  <c r="G118" i="107" a="1"/>
  <c r="G118" i="107" s="1"/>
  <c r="F118" i="107" a="1"/>
  <c r="F118" i="107" s="1"/>
  <c r="E118" i="107" a="1"/>
  <c r="E118" i="107" s="1"/>
  <c r="D118" i="107" a="1"/>
  <c r="D118" i="107" s="1"/>
  <c r="AH117" i="107" a="1"/>
  <c r="AH117" i="107" s="1"/>
  <c r="AG117" i="107" a="1"/>
  <c r="AG117" i="107" s="1"/>
  <c r="AF117" i="107" a="1"/>
  <c r="AF117" i="107" s="1"/>
  <c r="AE117" i="107" a="1"/>
  <c r="AE117" i="107" s="1"/>
  <c r="AD117" i="107" a="1"/>
  <c r="AD117" i="107" s="1"/>
  <c r="AC117" i="107" a="1"/>
  <c r="AC117" i="107" s="1"/>
  <c r="AB117" i="107" a="1"/>
  <c r="AB117" i="107" s="1"/>
  <c r="AA117" i="107" a="1"/>
  <c r="AA117" i="107" s="1"/>
  <c r="Z117" i="107" a="1"/>
  <c r="Z117" i="107" s="1"/>
  <c r="Y117" i="107" a="1"/>
  <c r="Y117" i="107" s="1"/>
  <c r="X117" i="107" a="1"/>
  <c r="X117" i="107" s="1"/>
  <c r="W117" i="107" a="1"/>
  <c r="W117" i="107" s="1"/>
  <c r="V117" i="107" a="1"/>
  <c r="V117" i="107" s="1"/>
  <c r="U117" i="107" a="1"/>
  <c r="U117" i="107" s="1"/>
  <c r="T117" i="107" a="1"/>
  <c r="T117" i="107" s="1"/>
  <c r="S117" i="107" a="1"/>
  <c r="S117" i="107" s="1"/>
  <c r="R117" i="107" a="1"/>
  <c r="R117" i="107" s="1"/>
  <c r="Q117" i="107" a="1"/>
  <c r="Q117" i="107" s="1"/>
  <c r="P117" i="107" a="1"/>
  <c r="P117" i="107" s="1"/>
  <c r="O117" i="107" a="1"/>
  <c r="O117" i="107" s="1"/>
  <c r="N117" i="107" a="1"/>
  <c r="N117" i="107" s="1"/>
  <c r="M117" i="107" a="1"/>
  <c r="M117" i="107" s="1"/>
  <c r="L117" i="107" a="1"/>
  <c r="L117" i="107" s="1"/>
  <c r="K117" i="107" a="1"/>
  <c r="K117" i="107" s="1"/>
  <c r="J117" i="107" a="1"/>
  <c r="J117" i="107" s="1"/>
  <c r="I117" i="107" a="1"/>
  <c r="I117" i="107" s="1"/>
  <c r="H117" i="107" a="1"/>
  <c r="H117" i="107" s="1"/>
  <c r="G117" i="107" a="1"/>
  <c r="G117" i="107" s="1"/>
  <c r="F117" i="107" a="1"/>
  <c r="F117" i="107" s="1"/>
  <c r="E117" i="107" a="1"/>
  <c r="E117" i="107" s="1"/>
  <c r="D117" i="107" a="1"/>
  <c r="D117" i="107" s="1"/>
  <c r="AH116" i="107" a="1"/>
  <c r="AH116" i="107" s="1"/>
  <c r="AG116" i="107" a="1"/>
  <c r="AG116" i="107" s="1"/>
  <c r="AF116" i="107" a="1"/>
  <c r="AF116" i="107" s="1"/>
  <c r="AE116" i="107" a="1"/>
  <c r="AE116" i="107" s="1"/>
  <c r="AD116" i="107" a="1"/>
  <c r="AD116" i="107" s="1"/>
  <c r="AC116" i="107" a="1"/>
  <c r="AC116" i="107" s="1"/>
  <c r="AB116" i="107" a="1"/>
  <c r="AB116" i="107" s="1"/>
  <c r="AA116" i="107" a="1"/>
  <c r="AA116" i="107" s="1"/>
  <c r="Z116" i="107" a="1"/>
  <c r="Z116" i="107" s="1"/>
  <c r="Y116" i="107" a="1"/>
  <c r="Y116" i="107" s="1"/>
  <c r="X116" i="107" a="1"/>
  <c r="X116" i="107" s="1"/>
  <c r="W116" i="107" a="1"/>
  <c r="W116" i="107" s="1"/>
  <c r="V116" i="107" a="1"/>
  <c r="V116" i="107" s="1"/>
  <c r="U116" i="107" a="1"/>
  <c r="U116" i="107" s="1"/>
  <c r="T116" i="107" a="1"/>
  <c r="T116" i="107" s="1"/>
  <c r="S116" i="107" a="1"/>
  <c r="S116" i="107" s="1"/>
  <c r="R116" i="107" a="1"/>
  <c r="R116" i="107" s="1"/>
  <c r="Q116" i="107" a="1"/>
  <c r="Q116" i="107" s="1"/>
  <c r="P116" i="107" a="1"/>
  <c r="P116" i="107" s="1"/>
  <c r="O116" i="107" a="1"/>
  <c r="O116" i="107" s="1"/>
  <c r="N116" i="107" a="1"/>
  <c r="N116" i="107" s="1"/>
  <c r="M116" i="107" a="1"/>
  <c r="M116" i="107" s="1"/>
  <c r="L116" i="107" a="1"/>
  <c r="L116" i="107" s="1"/>
  <c r="K116" i="107" a="1"/>
  <c r="K116" i="107" s="1"/>
  <c r="J116" i="107" a="1"/>
  <c r="J116" i="107" s="1"/>
  <c r="I116" i="107" a="1"/>
  <c r="I116" i="107" s="1"/>
  <c r="H116" i="107" a="1"/>
  <c r="H116" i="107" s="1"/>
  <c r="G116" i="107" a="1"/>
  <c r="G116" i="107" s="1"/>
  <c r="F116" i="107" a="1"/>
  <c r="F116" i="107" s="1"/>
  <c r="E116" i="107" a="1"/>
  <c r="E116" i="107" s="1"/>
  <c r="D116" i="107" a="1"/>
  <c r="D116" i="107" s="1"/>
  <c r="AH115" i="107" a="1"/>
  <c r="AH115" i="107" s="1"/>
  <c r="AG115" i="107" a="1"/>
  <c r="AG115" i="107" s="1"/>
  <c r="AF115" i="107" a="1"/>
  <c r="AF115" i="107" s="1"/>
  <c r="AE115" i="107" a="1"/>
  <c r="AE115" i="107" s="1"/>
  <c r="AD115" i="107" a="1"/>
  <c r="AD115" i="107" s="1"/>
  <c r="AC115" i="107" a="1"/>
  <c r="AC115" i="107" s="1"/>
  <c r="AB115" i="107" a="1"/>
  <c r="AB115" i="107" s="1"/>
  <c r="AA115" i="107" a="1"/>
  <c r="AA115" i="107" s="1"/>
  <c r="Z115" i="107" a="1"/>
  <c r="Z115" i="107" s="1"/>
  <c r="Y115" i="107" a="1"/>
  <c r="Y115" i="107" s="1"/>
  <c r="X115" i="107" a="1"/>
  <c r="X115" i="107" s="1"/>
  <c r="W115" i="107" a="1"/>
  <c r="W115" i="107" s="1"/>
  <c r="V115" i="107" a="1"/>
  <c r="V115" i="107" s="1"/>
  <c r="U115" i="107" a="1"/>
  <c r="U115" i="107" s="1"/>
  <c r="T115" i="107" a="1"/>
  <c r="T115" i="107" s="1"/>
  <c r="S115" i="107" a="1"/>
  <c r="S115" i="107" s="1"/>
  <c r="R115" i="107" a="1"/>
  <c r="R115" i="107" s="1"/>
  <c r="Q115" i="107" a="1"/>
  <c r="Q115" i="107" s="1"/>
  <c r="P115" i="107" a="1"/>
  <c r="P115" i="107" s="1"/>
  <c r="O115" i="107" a="1"/>
  <c r="O115" i="107" s="1"/>
  <c r="N115" i="107" a="1"/>
  <c r="N115" i="107" s="1"/>
  <c r="M115" i="107" a="1"/>
  <c r="M115" i="107" s="1"/>
  <c r="L115" i="107" a="1"/>
  <c r="L115" i="107" s="1"/>
  <c r="K115" i="107" a="1"/>
  <c r="K115" i="107" s="1"/>
  <c r="J115" i="107" a="1"/>
  <c r="J115" i="107" s="1"/>
  <c r="I115" i="107" a="1"/>
  <c r="I115" i="107" s="1"/>
  <c r="H115" i="107" a="1"/>
  <c r="H115" i="107" s="1"/>
  <c r="G115" i="107" a="1"/>
  <c r="G115" i="107" s="1"/>
  <c r="F115" i="107" a="1"/>
  <c r="F115" i="107" s="1"/>
  <c r="E115" i="107" a="1"/>
  <c r="E115" i="107" s="1"/>
  <c r="D115" i="107" a="1"/>
  <c r="D115" i="107" s="1"/>
  <c r="AH114" i="107" a="1"/>
  <c r="AH114" i="107" s="1"/>
  <c r="AG114" i="107" a="1"/>
  <c r="AG114" i="107" s="1"/>
  <c r="AF114" i="107" a="1"/>
  <c r="AF114" i="107" s="1"/>
  <c r="AE114" i="107" a="1"/>
  <c r="AE114" i="107" s="1"/>
  <c r="AD114" i="107" a="1"/>
  <c r="AD114" i="107" s="1"/>
  <c r="AC114" i="107" a="1"/>
  <c r="AC114" i="107" s="1"/>
  <c r="AB114" i="107" a="1"/>
  <c r="AB114" i="107" s="1"/>
  <c r="AA114" i="107" a="1"/>
  <c r="AA114" i="107" s="1"/>
  <c r="Z114" i="107" a="1"/>
  <c r="Z114" i="107" s="1"/>
  <c r="Y114" i="107" a="1"/>
  <c r="Y114" i="107" s="1"/>
  <c r="X114" i="107" a="1"/>
  <c r="X114" i="107" s="1"/>
  <c r="W114" i="107" a="1"/>
  <c r="W114" i="107" s="1"/>
  <c r="V114" i="107" a="1"/>
  <c r="V114" i="107" s="1"/>
  <c r="U114" i="107" a="1"/>
  <c r="U114" i="107" s="1"/>
  <c r="T114" i="107" a="1"/>
  <c r="T114" i="107" s="1"/>
  <c r="S114" i="107" a="1"/>
  <c r="S114" i="107" s="1"/>
  <c r="R114" i="107" a="1"/>
  <c r="R114" i="107" s="1"/>
  <c r="Q114" i="107" a="1"/>
  <c r="Q114" i="107" s="1"/>
  <c r="P114" i="107" a="1"/>
  <c r="P114" i="107" s="1"/>
  <c r="O114" i="107" a="1"/>
  <c r="O114" i="107" s="1"/>
  <c r="N114" i="107" a="1"/>
  <c r="N114" i="107" s="1"/>
  <c r="M114" i="107" a="1"/>
  <c r="M114" i="107" s="1"/>
  <c r="L114" i="107" a="1"/>
  <c r="L114" i="107" s="1"/>
  <c r="K114" i="107" a="1"/>
  <c r="K114" i="107" s="1"/>
  <c r="J114" i="107" a="1"/>
  <c r="J114" i="107" s="1"/>
  <c r="I114" i="107" a="1"/>
  <c r="I114" i="107" s="1"/>
  <c r="H114" i="107" a="1"/>
  <c r="H114" i="107" s="1"/>
  <c r="G114" i="107" a="1"/>
  <c r="G114" i="107" s="1"/>
  <c r="F114" i="107" a="1"/>
  <c r="F114" i="107" s="1"/>
  <c r="E114" i="107" a="1"/>
  <c r="E114" i="107" s="1"/>
  <c r="D114" i="107" a="1"/>
  <c r="D114" i="107" s="1"/>
  <c r="AH113" i="107" a="1"/>
  <c r="AH113" i="107" s="1"/>
  <c r="AG113" i="107" a="1"/>
  <c r="AG113" i="107" s="1"/>
  <c r="AF113" i="107" a="1"/>
  <c r="AF113" i="107" s="1"/>
  <c r="AE113" i="107" a="1"/>
  <c r="AE113" i="107" s="1"/>
  <c r="AD113" i="107" a="1"/>
  <c r="AD113" i="107" s="1"/>
  <c r="AC113" i="107" a="1"/>
  <c r="AC113" i="107" s="1"/>
  <c r="AB113" i="107" a="1"/>
  <c r="AB113" i="107" s="1"/>
  <c r="AA113" i="107" a="1"/>
  <c r="AA113" i="107" s="1"/>
  <c r="Z113" i="107" a="1"/>
  <c r="Z113" i="107" s="1"/>
  <c r="Y113" i="107" a="1"/>
  <c r="Y113" i="107" s="1"/>
  <c r="X113" i="107" a="1"/>
  <c r="X113" i="107" s="1"/>
  <c r="W113" i="107" a="1"/>
  <c r="W113" i="107" s="1"/>
  <c r="V113" i="107" a="1"/>
  <c r="V113" i="107" s="1"/>
  <c r="U113" i="107" a="1"/>
  <c r="U113" i="107" s="1"/>
  <c r="T113" i="107" a="1"/>
  <c r="T113" i="107" s="1"/>
  <c r="S113" i="107" a="1"/>
  <c r="S113" i="107" s="1"/>
  <c r="R113" i="107" a="1"/>
  <c r="R113" i="107" s="1"/>
  <c r="Q113" i="107" a="1"/>
  <c r="Q113" i="107" s="1"/>
  <c r="P113" i="107" a="1"/>
  <c r="P113" i="107" s="1"/>
  <c r="O113" i="107" a="1"/>
  <c r="O113" i="107" s="1"/>
  <c r="N113" i="107" a="1"/>
  <c r="N113" i="107" s="1"/>
  <c r="M113" i="107" a="1"/>
  <c r="M113" i="107" s="1"/>
  <c r="L113" i="107" a="1"/>
  <c r="L113" i="107" s="1"/>
  <c r="K113" i="107" a="1"/>
  <c r="K113" i="107" s="1"/>
  <c r="J113" i="107" a="1"/>
  <c r="J113" i="107" s="1"/>
  <c r="I113" i="107" a="1"/>
  <c r="I113" i="107" s="1"/>
  <c r="H113" i="107" a="1"/>
  <c r="H113" i="107" s="1"/>
  <c r="G113" i="107" a="1"/>
  <c r="G113" i="107" s="1"/>
  <c r="F113" i="107" a="1"/>
  <c r="F113" i="107" s="1"/>
  <c r="E113" i="107" a="1"/>
  <c r="E113" i="107" s="1"/>
  <c r="D113" i="107" a="1"/>
  <c r="D113" i="107" s="1"/>
  <c r="AH112" i="107" a="1"/>
  <c r="AH112" i="107" s="1"/>
  <c r="AG112" i="107" a="1"/>
  <c r="AG112" i="107" s="1"/>
  <c r="AF112" i="107" a="1"/>
  <c r="AF112" i="107" s="1"/>
  <c r="AE112" i="107" a="1"/>
  <c r="AE112" i="107" s="1"/>
  <c r="AD112" i="107" a="1"/>
  <c r="AD112" i="107" s="1"/>
  <c r="AC112" i="107" a="1"/>
  <c r="AC112" i="107" s="1"/>
  <c r="AB112" i="107" a="1"/>
  <c r="AB112" i="107" s="1"/>
  <c r="AA112" i="107" a="1"/>
  <c r="AA112" i="107" s="1"/>
  <c r="Z112" i="107" a="1"/>
  <c r="Z112" i="107" s="1"/>
  <c r="Y112" i="107" a="1"/>
  <c r="Y112" i="107" s="1"/>
  <c r="X112" i="107" a="1"/>
  <c r="X112" i="107" s="1"/>
  <c r="W112" i="107" a="1"/>
  <c r="W112" i="107" s="1"/>
  <c r="V112" i="107" a="1"/>
  <c r="V112" i="107" s="1"/>
  <c r="U112" i="107" a="1"/>
  <c r="U112" i="107" s="1"/>
  <c r="T112" i="107" a="1"/>
  <c r="T112" i="107" s="1"/>
  <c r="S112" i="107" a="1"/>
  <c r="S112" i="107" s="1"/>
  <c r="R112" i="107" a="1"/>
  <c r="R112" i="107" s="1"/>
  <c r="Q112" i="107" a="1"/>
  <c r="Q112" i="107" s="1"/>
  <c r="P112" i="107" a="1"/>
  <c r="P112" i="107" s="1"/>
  <c r="O112" i="107" a="1"/>
  <c r="O112" i="107" s="1"/>
  <c r="N112" i="107" a="1"/>
  <c r="N112" i="107" s="1"/>
  <c r="M112" i="107" a="1"/>
  <c r="M112" i="107" s="1"/>
  <c r="L112" i="107" a="1"/>
  <c r="L112" i="107" s="1"/>
  <c r="K112" i="107" a="1"/>
  <c r="K112" i="107" s="1"/>
  <c r="J112" i="107" a="1"/>
  <c r="J112" i="107" s="1"/>
  <c r="I112" i="107" a="1"/>
  <c r="I112" i="107" s="1"/>
  <c r="H112" i="107" a="1"/>
  <c r="H112" i="107" s="1"/>
  <c r="G112" i="107" a="1"/>
  <c r="G112" i="107" s="1"/>
  <c r="F112" i="107" a="1"/>
  <c r="F112" i="107" s="1"/>
  <c r="E112" i="107" a="1"/>
  <c r="E112" i="107" s="1"/>
  <c r="D112" i="107" a="1"/>
  <c r="D112" i="107" s="1"/>
  <c r="AH111" i="107" a="1"/>
  <c r="AH111" i="107" s="1"/>
  <c r="AG111" i="107" a="1"/>
  <c r="AG111" i="107" s="1"/>
  <c r="AF111" i="107" a="1"/>
  <c r="AF111" i="107" s="1"/>
  <c r="AE111" i="107" a="1"/>
  <c r="AE111" i="107" s="1"/>
  <c r="AD111" i="107" a="1"/>
  <c r="AD111" i="107" s="1"/>
  <c r="AC111" i="107" a="1"/>
  <c r="AC111" i="107" s="1"/>
  <c r="AB111" i="107" a="1"/>
  <c r="AB111" i="107" s="1"/>
  <c r="AA111" i="107" a="1"/>
  <c r="AA111" i="107" s="1"/>
  <c r="Z111" i="107" a="1"/>
  <c r="Z111" i="107" s="1"/>
  <c r="Y111" i="107" a="1"/>
  <c r="Y111" i="107" s="1"/>
  <c r="X111" i="107" a="1"/>
  <c r="X111" i="107" s="1"/>
  <c r="W111" i="107" a="1"/>
  <c r="W111" i="107" s="1"/>
  <c r="V111" i="107" a="1"/>
  <c r="V111" i="107" s="1"/>
  <c r="U111" i="107" a="1"/>
  <c r="U111" i="107" s="1"/>
  <c r="T111" i="107" a="1"/>
  <c r="T111" i="107" s="1"/>
  <c r="S111" i="107" a="1"/>
  <c r="S111" i="107" s="1"/>
  <c r="R111" i="107" a="1"/>
  <c r="R111" i="107" s="1"/>
  <c r="Q111" i="107" a="1"/>
  <c r="Q111" i="107" s="1"/>
  <c r="P111" i="107" a="1"/>
  <c r="P111" i="107" s="1"/>
  <c r="O111" i="107" a="1"/>
  <c r="O111" i="107" s="1"/>
  <c r="N111" i="107" a="1"/>
  <c r="N111" i="107" s="1"/>
  <c r="M111" i="107" a="1"/>
  <c r="M111" i="107" s="1"/>
  <c r="L111" i="107" a="1"/>
  <c r="L111" i="107" s="1"/>
  <c r="K111" i="107" a="1"/>
  <c r="K111" i="107" s="1"/>
  <c r="J111" i="107" a="1"/>
  <c r="J111" i="107" s="1"/>
  <c r="I111" i="107" a="1"/>
  <c r="I111" i="107" s="1"/>
  <c r="H111" i="107" a="1"/>
  <c r="H111" i="107" s="1"/>
  <c r="G111" i="107" a="1"/>
  <c r="G111" i="107" s="1"/>
  <c r="F111" i="107" a="1"/>
  <c r="F111" i="107" s="1"/>
  <c r="E111" i="107" a="1"/>
  <c r="E111" i="107" s="1"/>
  <c r="D111" i="107" a="1"/>
  <c r="D111" i="107" s="1"/>
  <c r="AH110" i="107" a="1"/>
  <c r="AH110" i="107" s="1"/>
  <c r="AG110" i="107" a="1"/>
  <c r="AG110" i="107" s="1"/>
  <c r="AF110" i="107" a="1"/>
  <c r="AF110" i="107" s="1"/>
  <c r="AE110" i="107" a="1"/>
  <c r="AE110" i="107" s="1"/>
  <c r="AD110" i="107" a="1"/>
  <c r="AD110" i="107" s="1"/>
  <c r="AC110" i="107" a="1"/>
  <c r="AC110" i="107" s="1"/>
  <c r="AB110" i="107" a="1"/>
  <c r="AB110" i="107" s="1"/>
  <c r="AA110" i="107" a="1"/>
  <c r="AA110" i="107" s="1"/>
  <c r="Z110" i="107" a="1"/>
  <c r="Z110" i="107" s="1"/>
  <c r="Y110" i="107" a="1"/>
  <c r="Y110" i="107" s="1"/>
  <c r="X110" i="107" a="1"/>
  <c r="X110" i="107" s="1"/>
  <c r="W110" i="107" a="1"/>
  <c r="W110" i="107" s="1"/>
  <c r="V110" i="107" a="1"/>
  <c r="V110" i="107" s="1"/>
  <c r="U110" i="107" a="1"/>
  <c r="U110" i="107" s="1"/>
  <c r="T110" i="107" a="1"/>
  <c r="T110" i="107" s="1"/>
  <c r="S110" i="107" a="1"/>
  <c r="S110" i="107" s="1"/>
  <c r="R110" i="107" a="1"/>
  <c r="R110" i="107" s="1"/>
  <c r="Q110" i="107" a="1"/>
  <c r="Q110" i="107" s="1"/>
  <c r="P110" i="107" a="1"/>
  <c r="P110" i="107" s="1"/>
  <c r="O110" i="107" a="1"/>
  <c r="O110" i="107" s="1"/>
  <c r="N110" i="107" a="1"/>
  <c r="N110" i="107" s="1"/>
  <c r="M110" i="107" a="1"/>
  <c r="M110" i="107" s="1"/>
  <c r="L110" i="107" a="1"/>
  <c r="L110" i="107" s="1"/>
  <c r="K110" i="107" a="1"/>
  <c r="K110" i="107" s="1"/>
  <c r="J110" i="107" a="1"/>
  <c r="J110" i="107" s="1"/>
  <c r="I110" i="107" a="1"/>
  <c r="I110" i="107" s="1"/>
  <c r="H110" i="107" a="1"/>
  <c r="H110" i="107" s="1"/>
  <c r="G110" i="107" a="1"/>
  <c r="G110" i="107" s="1"/>
  <c r="F110" i="107" a="1"/>
  <c r="F110" i="107" s="1"/>
  <c r="E110" i="107" a="1"/>
  <c r="E110" i="107" s="1"/>
  <c r="D110" i="107" a="1"/>
  <c r="D110" i="107" s="1"/>
  <c r="AH109" i="107" a="1"/>
  <c r="AH109" i="107" s="1"/>
  <c r="AG109" i="107" a="1"/>
  <c r="AG109" i="107" s="1"/>
  <c r="AF109" i="107" a="1"/>
  <c r="AF109" i="107" s="1"/>
  <c r="AE109" i="107" a="1"/>
  <c r="AE109" i="107" s="1"/>
  <c r="AD109" i="107" a="1"/>
  <c r="AD109" i="107" s="1"/>
  <c r="AC109" i="107" a="1"/>
  <c r="AC109" i="107" s="1"/>
  <c r="AB109" i="107" a="1"/>
  <c r="AB109" i="107" s="1"/>
  <c r="AA109" i="107" a="1"/>
  <c r="AA109" i="107" s="1"/>
  <c r="Z109" i="107" a="1"/>
  <c r="Z109" i="107" s="1"/>
  <c r="Y109" i="107" a="1"/>
  <c r="Y109" i="107" s="1"/>
  <c r="X109" i="107" a="1"/>
  <c r="X109" i="107" s="1"/>
  <c r="W109" i="107" a="1"/>
  <c r="W109" i="107" s="1"/>
  <c r="V109" i="107" a="1"/>
  <c r="V109" i="107" s="1"/>
  <c r="U109" i="107" a="1"/>
  <c r="U109" i="107" s="1"/>
  <c r="T109" i="107" a="1"/>
  <c r="T109" i="107" s="1"/>
  <c r="S109" i="107" a="1"/>
  <c r="S109" i="107" s="1"/>
  <c r="R109" i="107" a="1"/>
  <c r="R109" i="107" s="1"/>
  <c r="Q109" i="107" a="1"/>
  <c r="Q109" i="107" s="1"/>
  <c r="P109" i="107" a="1"/>
  <c r="P109" i="107" s="1"/>
  <c r="O109" i="107" a="1"/>
  <c r="O109" i="107" s="1"/>
  <c r="N109" i="107" a="1"/>
  <c r="N109" i="107" s="1"/>
  <c r="M109" i="107" a="1"/>
  <c r="M109" i="107" s="1"/>
  <c r="L109" i="107" a="1"/>
  <c r="L109" i="107" s="1"/>
  <c r="K109" i="107" a="1"/>
  <c r="K109" i="107" s="1"/>
  <c r="J109" i="107" a="1"/>
  <c r="J109" i="107" s="1"/>
  <c r="I109" i="107" a="1"/>
  <c r="I109" i="107" s="1"/>
  <c r="H109" i="107" a="1"/>
  <c r="H109" i="107" s="1"/>
  <c r="G109" i="107" a="1"/>
  <c r="G109" i="107" s="1"/>
  <c r="F109" i="107" a="1"/>
  <c r="F109" i="107" s="1"/>
  <c r="E109" i="107" a="1"/>
  <c r="E109" i="107" s="1"/>
  <c r="D109" i="107" a="1"/>
  <c r="D109" i="107" s="1"/>
  <c r="AH108" i="107" a="1"/>
  <c r="AH108" i="107" s="1"/>
  <c r="AG108" i="107" a="1"/>
  <c r="AG108" i="107" s="1"/>
  <c r="AF108" i="107" a="1"/>
  <c r="AF108" i="107" s="1"/>
  <c r="AE108" i="107" a="1"/>
  <c r="AE108" i="107" s="1"/>
  <c r="AD108" i="107" a="1"/>
  <c r="AD108" i="107" s="1"/>
  <c r="AC108" i="107" a="1"/>
  <c r="AC108" i="107" s="1"/>
  <c r="AB108" i="107" a="1"/>
  <c r="AB108" i="107" s="1"/>
  <c r="AA108" i="107" a="1"/>
  <c r="AA108" i="107" s="1"/>
  <c r="Z108" i="107" a="1"/>
  <c r="Z108" i="107" s="1"/>
  <c r="Y108" i="107" a="1"/>
  <c r="Y108" i="107" s="1"/>
  <c r="X108" i="107" a="1"/>
  <c r="X108" i="107" s="1"/>
  <c r="W108" i="107" a="1"/>
  <c r="W108" i="107" s="1"/>
  <c r="V108" i="107" a="1"/>
  <c r="V108" i="107" s="1"/>
  <c r="U108" i="107" a="1"/>
  <c r="U108" i="107" s="1"/>
  <c r="T108" i="107" a="1"/>
  <c r="T108" i="107" s="1"/>
  <c r="S108" i="107" a="1"/>
  <c r="S108" i="107" s="1"/>
  <c r="R108" i="107" a="1"/>
  <c r="R108" i="107" s="1"/>
  <c r="Q108" i="107" a="1"/>
  <c r="Q108" i="107" s="1"/>
  <c r="P108" i="107" a="1"/>
  <c r="P108" i="107" s="1"/>
  <c r="O108" i="107" a="1"/>
  <c r="O108" i="107" s="1"/>
  <c r="N108" i="107" a="1"/>
  <c r="N108" i="107" s="1"/>
  <c r="M108" i="107" a="1"/>
  <c r="M108" i="107" s="1"/>
  <c r="L108" i="107" a="1"/>
  <c r="L108" i="107" s="1"/>
  <c r="K108" i="107" a="1"/>
  <c r="K108" i="107" s="1"/>
  <c r="J108" i="107" a="1"/>
  <c r="J108" i="107" s="1"/>
  <c r="I108" i="107" a="1"/>
  <c r="I108" i="107" s="1"/>
  <c r="H108" i="107" a="1"/>
  <c r="H108" i="107" s="1"/>
  <c r="G108" i="107" a="1"/>
  <c r="G108" i="107" s="1"/>
  <c r="F108" i="107" a="1"/>
  <c r="F108" i="107" s="1"/>
  <c r="E108" i="107" a="1"/>
  <c r="E108" i="107" s="1"/>
  <c r="D108" i="107" a="1"/>
  <c r="D108" i="107" s="1"/>
  <c r="AH107" i="107" a="1"/>
  <c r="AH107" i="107" s="1"/>
  <c r="AG107" i="107" a="1"/>
  <c r="AG107" i="107" s="1"/>
  <c r="AF107" i="107" a="1"/>
  <c r="AF107" i="107" s="1"/>
  <c r="AE107" i="107" a="1"/>
  <c r="AE107" i="107" s="1"/>
  <c r="AD107" i="107" a="1"/>
  <c r="AD107" i="107" s="1"/>
  <c r="AC107" i="107" a="1"/>
  <c r="AC107" i="107" s="1"/>
  <c r="AB107" i="107" a="1"/>
  <c r="AB107" i="107" s="1"/>
  <c r="AA107" i="107" a="1"/>
  <c r="AA107" i="107" s="1"/>
  <c r="Z107" i="107" a="1"/>
  <c r="Z107" i="107" s="1"/>
  <c r="Y107" i="107" a="1"/>
  <c r="Y107" i="107" s="1"/>
  <c r="X107" i="107" a="1"/>
  <c r="X107" i="107" s="1"/>
  <c r="W107" i="107" a="1"/>
  <c r="W107" i="107" s="1"/>
  <c r="V107" i="107" a="1"/>
  <c r="V107" i="107" s="1"/>
  <c r="U107" i="107" a="1"/>
  <c r="U107" i="107" s="1"/>
  <c r="T107" i="107" a="1"/>
  <c r="T107" i="107" s="1"/>
  <c r="S107" i="107" a="1"/>
  <c r="S107" i="107" s="1"/>
  <c r="R107" i="107" a="1"/>
  <c r="R107" i="107" s="1"/>
  <c r="Q107" i="107" a="1"/>
  <c r="Q107" i="107" s="1"/>
  <c r="P107" i="107" a="1"/>
  <c r="P107" i="107" s="1"/>
  <c r="O107" i="107" a="1"/>
  <c r="O107" i="107" s="1"/>
  <c r="N107" i="107" a="1"/>
  <c r="N107" i="107" s="1"/>
  <c r="M107" i="107" a="1"/>
  <c r="M107" i="107" s="1"/>
  <c r="L107" i="107" a="1"/>
  <c r="L107" i="107" s="1"/>
  <c r="K107" i="107" a="1"/>
  <c r="K107" i="107" s="1"/>
  <c r="J107" i="107" a="1"/>
  <c r="J107" i="107" s="1"/>
  <c r="I107" i="107" a="1"/>
  <c r="I107" i="107" s="1"/>
  <c r="H107" i="107" a="1"/>
  <c r="H107" i="107" s="1"/>
  <c r="G107" i="107" a="1"/>
  <c r="G107" i="107" s="1"/>
  <c r="F107" i="107" a="1"/>
  <c r="F107" i="107" s="1"/>
  <c r="E107" i="107" a="1"/>
  <c r="E107" i="107" s="1"/>
  <c r="D107" i="107" a="1"/>
  <c r="D107" i="107" s="1"/>
  <c r="AH106" i="107" a="1"/>
  <c r="AH106" i="107" s="1"/>
  <c r="AG106" i="107" a="1"/>
  <c r="AG106" i="107" s="1"/>
  <c r="AF106" i="107" a="1"/>
  <c r="AF106" i="107" s="1"/>
  <c r="AE106" i="107" a="1"/>
  <c r="AE106" i="107" s="1"/>
  <c r="AD106" i="107" a="1"/>
  <c r="AD106" i="107" s="1"/>
  <c r="AC106" i="107" a="1"/>
  <c r="AC106" i="107" s="1"/>
  <c r="AB106" i="107" a="1"/>
  <c r="AB106" i="107" s="1"/>
  <c r="AA106" i="107" a="1"/>
  <c r="AA106" i="107" s="1"/>
  <c r="Z106" i="107" a="1"/>
  <c r="Z106" i="107" s="1"/>
  <c r="Y106" i="107" a="1"/>
  <c r="Y106" i="107" s="1"/>
  <c r="X106" i="107" a="1"/>
  <c r="X106" i="107" s="1"/>
  <c r="W106" i="107" a="1"/>
  <c r="W106" i="107" s="1"/>
  <c r="V106" i="107" a="1"/>
  <c r="V106" i="107" s="1"/>
  <c r="U106" i="107" a="1"/>
  <c r="U106" i="107" s="1"/>
  <c r="T106" i="107" a="1"/>
  <c r="T106" i="107" s="1"/>
  <c r="S106" i="107" a="1"/>
  <c r="S106" i="107" s="1"/>
  <c r="R106" i="107" a="1"/>
  <c r="R106" i="107" s="1"/>
  <c r="Q106" i="107" a="1"/>
  <c r="Q106" i="107" s="1"/>
  <c r="P106" i="107" a="1"/>
  <c r="P106" i="107" s="1"/>
  <c r="O106" i="107" a="1"/>
  <c r="O106" i="107" s="1"/>
  <c r="N106" i="107" a="1"/>
  <c r="N106" i="107" s="1"/>
  <c r="M106" i="107" a="1"/>
  <c r="M106" i="107" s="1"/>
  <c r="L106" i="107" a="1"/>
  <c r="L106" i="107" s="1"/>
  <c r="K106" i="107" a="1"/>
  <c r="K106" i="107" s="1"/>
  <c r="J106" i="107" a="1"/>
  <c r="J106" i="107" s="1"/>
  <c r="I106" i="107" a="1"/>
  <c r="I106" i="107" s="1"/>
  <c r="H106" i="107" a="1"/>
  <c r="H106" i="107" s="1"/>
  <c r="G106" i="107" a="1"/>
  <c r="G106" i="107" s="1"/>
  <c r="F106" i="107" a="1"/>
  <c r="F106" i="107" s="1"/>
  <c r="E106" i="107" a="1"/>
  <c r="E106" i="107" s="1"/>
  <c r="D106" i="107" a="1"/>
  <c r="D106" i="107" s="1"/>
  <c r="AH105" i="107" a="1"/>
  <c r="AH105" i="107" s="1"/>
  <c r="AG105" i="107" a="1"/>
  <c r="AG105" i="107" s="1"/>
  <c r="AF105" i="107" a="1"/>
  <c r="AF105" i="107" s="1"/>
  <c r="AE105" i="107" a="1"/>
  <c r="AE105" i="107" s="1"/>
  <c r="AD105" i="107" a="1"/>
  <c r="AD105" i="107" s="1"/>
  <c r="AC105" i="107" a="1"/>
  <c r="AC105" i="107" s="1"/>
  <c r="AB105" i="107" a="1"/>
  <c r="AB105" i="107" s="1"/>
  <c r="AA105" i="107" a="1"/>
  <c r="AA105" i="107" s="1"/>
  <c r="Z105" i="107" a="1"/>
  <c r="Z105" i="107" s="1"/>
  <c r="Y105" i="107" a="1"/>
  <c r="Y105" i="107" s="1"/>
  <c r="X105" i="107" a="1"/>
  <c r="X105" i="107" s="1"/>
  <c r="W105" i="107" a="1"/>
  <c r="W105" i="107" s="1"/>
  <c r="V105" i="107" a="1"/>
  <c r="V105" i="107" s="1"/>
  <c r="U105" i="107" a="1"/>
  <c r="U105" i="107" s="1"/>
  <c r="T105" i="107" a="1"/>
  <c r="T105" i="107" s="1"/>
  <c r="S105" i="107" a="1"/>
  <c r="S105" i="107" s="1"/>
  <c r="R105" i="107" a="1"/>
  <c r="R105" i="107" s="1"/>
  <c r="Q105" i="107" a="1"/>
  <c r="Q105" i="107" s="1"/>
  <c r="P105" i="107" a="1"/>
  <c r="P105" i="107" s="1"/>
  <c r="O105" i="107" a="1"/>
  <c r="O105" i="107" s="1"/>
  <c r="N105" i="107" a="1"/>
  <c r="N105" i="107" s="1"/>
  <c r="M105" i="107" a="1"/>
  <c r="M105" i="107" s="1"/>
  <c r="L105" i="107" a="1"/>
  <c r="L105" i="107" s="1"/>
  <c r="K105" i="107" a="1"/>
  <c r="K105" i="107" s="1"/>
  <c r="J105" i="107" a="1"/>
  <c r="J105" i="107" s="1"/>
  <c r="I105" i="107" a="1"/>
  <c r="I105" i="107" s="1"/>
  <c r="H105" i="107" a="1"/>
  <c r="H105" i="107" s="1"/>
  <c r="G105" i="107" a="1"/>
  <c r="G105" i="107" s="1"/>
  <c r="F105" i="107" a="1"/>
  <c r="F105" i="107" s="1"/>
  <c r="E105" i="107" a="1"/>
  <c r="E105" i="107" s="1"/>
  <c r="D105" i="107" a="1"/>
  <c r="D105" i="107" s="1"/>
  <c r="AH104" i="107" a="1"/>
  <c r="AH104" i="107" s="1"/>
  <c r="AG104" i="107" a="1"/>
  <c r="AG104" i="107" s="1"/>
  <c r="AF104" i="107" a="1"/>
  <c r="AF104" i="107" s="1"/>
  <c r="AE104" i="107" a="1"/>
  <c r="AE104" i="107" s="1"/>
  <c r="AD104" i="107" a="1"/>
  <c r="AD104" i="107" s="1"/>
  <c r="AC104" i="107" a="1"/>
  <c r="AC104" i="107" s="1"/>
  <c r="AB104" i="107" a="1"/>
  <c r="AB104" i="107" s="1"/>
  <c r="AA104" i="107" a="1"/>
  <c r="AA104" i="107" s="1"/>
  <c r="Z104" i="107" a="1"/>
  <c r="Z104" i="107" s="1"/>
  <c r="Y104" i="107" a="1"/>
  <c r="Y104" i="107" s="1"/>
  <c r="X104" i="107" a="1"/>
  <c r="X104" i="107" s="1"/>
  <c r="W104" i="107" a="1"/>
  <c r="W104" i="107" s="1"/>
  <c r="V104" i="107" a="1"/>
  <c r="V104" i="107" s="1"/>
  <c r="U104" i="107" a="1"/>
  <c r="U104" i="107" s="1"/>
  <c r="T104" i="107" a="1"/>
  <c r="T104" i="107" s="1"/>
  <c r="S104" i="107" a="1"/>
  <c r="S104" i="107" s="1"/>
  <c r="R104" i="107" a="1"/>
  <c r="R104" i="107" s="1"/>
  <c r="Q104" i="107" a="1"/>
  <c r="Q104" i="107" s="1"/>
  <c r="P104" i="107" a="1"/>
  <c r="P104" i="107" s="1"/>
  <c r="O104" i="107" a="1"/>
  <c r="O104" i="107" s="1"/>
  <c r="N104" i="107" a="1"/>
  <c r="N104" i="107" s="1"/>
  <c r="M104" i="107" a="1"/>
  <c r="M104" i="107" s="1"/>
  <c r="L104" i="107" a="1"/>
  <c r="L104" i="107" s="1"/>
  <c r="K104" i="107" a="1"/>
  <c r="K104" i="107" s="1"/>
  <c r="J104" i="107" a="1"/>
  <c r="J104" i="107" s="1"/>
  <c r="I104" i="107" a="1"/>
  <c r="I104" i="107" s="1"/>
  <c r="H104" i="107" a="1"/>
  <c r="H104" i="107" s="1"/>
  <c r="G104" i="107" a="1"/>
  <c r="G104" i="107" s="1"/>
  <c r="F104" i="107" a="1"/>
  <c r="F104" i="107" s="1"/>
  <c r="E104" i="107" a="1"/>
  <c r="E104" i="107" s="1"/>
  <c r="D104" i="107" a="1"/>
  <c r="D104" i="107" s="1"/>
  <c r="AH103" i="107" a="1"/>
  <c r="AH103" i="107" s="1"/>
  <c r="AG103" i="107" a="1"/>
  <c r="AG103" i="107" s="1"/>
  <c r="AF103" i="107" a="1"/>
  <c r="AF103" i="107" s="1"/>
  <c r="AE103" i="107" a="1"/>
  <c r="AE103" i="107" s="1"/>
  <c r="AD103" i="107" a="1"/>
  <c r="AD103" i="107" s="1"/>
  <c r="AC103" i="107" a="1"/>
  <c r="AC103" i="107" s="1"/>
  <c r="AB103" i="107" a="1"/>
  <c r="AB103" i="107" s="1"/>
  <c r="AA103" i="107" a="1"/>
  <c r="AA103" i="107" s="1"/>
  <c r="Z103" i="107" a="1"/>
  <c r="Z103" i="107" s="1"/>
  <c r="Y103" i="107" a="1"/>
  <c r="Y103" i="107" s="1"/>
  <c r="X103" i="107" a="1"/>
  <c r="X103" i="107" s="1"/>
  <c r="W103" i="107" a="1"/>
  <c r="W103" i="107" s="1"/>
  <c r="V103" i="107" a="1"/>
  <c r="V103" i="107" s="1"/>
  <c r="U103" i="107" a="1"/>
  <c r="U103" i="107" s="1"/>
  <c r="T103" i="107" a="1"/>
  <c r="T103" i="107" s="1"/>
  <c r="S103" i="107" a="1"/>
  <c r="S103" i="107" s="1"/>
  <c r="R103" i="107" a="1"/>
  <c r="R103" i="107" s="1"/>
  <c r="Q103" i="107" a="1"/>
  <c r="Q103" i="107" s="1"/>
  <c r="P103" i="107" a="1"/>
  <c r="P103" i="107" s="1"/>
  <c r="O103" i="107" a="1"/>
  <c r="O103" i="107" s="1"/>
  <c r="N103" i="107" a="1"/>
  <c r="N103" i="107" s="1"/>
  <c r="M103" i="107" a="1"/>
  <c r="M103" i="107" s="1"/>
  <c r="L103" i="107" a="1"/>
  <c r="L103" i="107" s="1"/>
  <c r="K103" i="107" a="1"/>
  <c r="K103" i="107" s="1"/>
  <c r="J103" i="107" a="1"/>
  <c r="J103" i="107" s="1"/>
  <c r="I103" i="107" a="1"/>
  <c r="I103" i="107" s="1"/>
  <c r="H103" i="107" a="1"/>
  <c r="H103" i="107" s="1"/>
  <c r="G103" i="107" a="1"/>
  <c r="G103" i="107" s="1"/>
  <c r="F103" i="107" a="1"/>
  <c r="F103" i="107" s="1"/>
  <c r="E103" i="107" a="1"/>
  <c r="E103" i="107" s="1"/>
  <c r="D103" i="107" a="1"/>
  <c r="D103" i="107" s="1"/>
  <c r="AH102" i="107" a="1"/>
  <c r="AH102" i="107" s="1"/>
  <c r="AG102" i="107" a="1"/>
  <c r="AG102" i="107" s="1"/>
  <c r="AF102" i="107" a="1"/>
  <c r="AF102" i="107" s="1"/>
  <c r="AE102" i="107" a="1"/>
  <c r="AE102" i="107" s="1"/>
  <c r="AD102" i="107" a="1"/>
  <c r="AD102" i="107" s="1"/>
  <c r="AC102" i="107" a="1"/>
  <c r="AC102" i="107" s="1"/>
  <c r="AB102" i="107" a="1"/>
  <c r="AB102" i="107" s="1"/>
  <c r="AA102" i="107" a="1"/>
  <c r="AA102" i="107" s="1"/>
  <c r="Z102" i="107" a="1"/>
  <c r="Z102" i="107" s="1"/>
  <c r="Y102" i="107" a="1"/>
  <c r="Y102" i="107" s="1"/>
  <c r="X102" i="107" a="1"/>
  <c r="X102" i="107" s="1"/>
  <c r="W102" i="107" a="1"/>
  <c r="W102" i="107" s="1"/>
  <c r="V102" i="107" a="1"/>
  <c r="V102" i="107" s="1"/>
  <c r="U102" i="107" a="1"/>
  <c r="U102" i="107" s="1"/>
  <c r="T102" i="107" a="1"/>
  <c r="T102" i="107" s="1"/>
  <c r="S102" i="107" a="1"/>
  <c r="S102" i="107" s="1"/>
  <c r="R102" i="107" a="1"/>
  <c r="R102" i="107" s="1"/>
  <c r="Q102" i="107" a="1"/>
  <c r="Q102" i="107" s="1"/>
  <c r="P102" i="107" a="1"/>
  <c r="P102" i="107" s="1"/>
  <c r="O102" i="107" a="1"/>
  <c r="O102" i="107" s="1"/>
  <c r="N102" i="107" a="1"/>
  <c r="N102" i="107" s="1"/>
  <c r="M102" i="107" a="1"/>
  <c r="M102" i="107" s="1"/>
  <c r="L102" i="107" a="1"/>
  <c r="L102" i="107" s="1"/>
  <c r="K102" i="107" a="1"/>
  <c r="K102" i="107" s="1"/>
  <c r="J102" i="107" a="1"/>
  <c r="J102" i="107" s="1"/>
  <c r="I102" i="107" a="1"/>
  <c r="I102" i="107" s="1"/>
  <c r="H102" i="107" a="1"/>
  <c r="H102" i="107" s="1"/>
  <c r="G102" i="107" a="1"/>
  <c r="G102" i="107" s="1"/>
  <c r="F102" i="107" a="1"/>
  <c r="F102" i="107" s="1"/>
  <c r="E102" i="107" a="1"/>
  <c r="E102" i="107" s="1"/>
  <c r="D102" i="107" a="1"/>
  <c r="D102" i="107" s="1"/>
  <c r="AH101" i="107" a="1"/>
  <c r="AH101" i="107" s="1"/>
  <c r="AG101" i="107" a="1"/>
  <c r="AG101" i="107" s="1"/>
  <c r="AF101" i="107" a="1"/>
  <c r="AF101" i="107" s="1"/>
  <c r="AE101" i="107" a="1"/>
  <c r="AE101" i="107" s="1"/>
  <c r="AD101" i="107" a="1"/>
  <c r="AD101" i="107" s="1"/>
  <c r="AC101" i="107" a="1"/>
  <c r="AC101" i="107" s="1"/>
  <c r="AB101" i="107" a="1"/>
  <c r="AB101" i="107" s="1"/>
  <c r="AA101" i="107" a="1"/>
  <c r="AA101" i="107" s="1"/>
  <c r="Z101" i="107" a="1"/>
  <c r="Z101" i="107" s="1"/>
  <c r="Y101" i="107" a="1"/>
  <c r="Y101" i="107" s="1"/>
  <c r="X101" i="107" a="1"/>
  <c r="X101" i="107" s="1"/>
  <c r="W101" i="107" a="1"/>
  <c r="W101" i="107" s="1"/>
  <c r="V101" i="107" a="1"/>
  <c r="V101" i="107" s="1"/>
  <c r="U101" i="107" a="1"/>
  <c r="U101" i="107" s="1"/>
  <c r="T101" i="107" a="1"/>
  <c r="T101" i="107" s="1"/>
  <c r="S101" i="107" a="1"/>
  <c r="S101" i="107" s="1"/>
  <c r="R101" i="107" a="1"/>
  <c r="R101" i="107" s="1"/>
  <c r="Q101" i="107" a="1"/>
  <c r="Q101" i="107" s="1"/>
  <c r="P101" i="107" a="1"/>
  <c r="P101" i="107" s="1"/>
  <c r="O101" i="107" a="1"/>
  <c r="O101" i="107" s="1"/>
  <c r="N101" i="107" a="1"/>
  <c r="N101" i="107" s="1"/>
  <c r="M101" i="107" a="1"/>
  <c r="M101" i="107" s="1"/>
  <c r="L101" i="107" a="1"/>
  <c r="L101" i="107" s="1"/>
  <c r="K101" i="107" a="1"/>
  <c r="K101" i="107" s="1"/>
  <c r="J101" i="107" a="1"/>
  <c r="J101" i="107" s="1"/>
  <c r="I101" i="107" a="1"/>
  <c r="I101" i="107" s="1"/>
  <c r="H101" i="107" a="1"/>
  <c r="H101" i="107" s="1"/>
  <c r="G101" i="107" a="1"/>
  <c r="G101" i="107" s="1"/>
  <c r="F101" i="107" a="1"/>
  <c r="F101" i="107" s="1"/>
  <c r="E101" i="107" a="1"/>
  <c r="E101" i="107" s="1"/>
  <c r="D101" i="107" a="1"/>
  <c r="D101" i="107" s="1"/>
  <c r="AH100" i="107" a="1"/>
  <c r="AH100" i="107" s="1"/>
  <c r="AG100" i="107" a="1"/>
  <c r="AG100" i="107" s="1"/>
  <c r="AF100" i="107" a="1"/>
  <c r="AF100" i="107" s="1"/>
  <c r="AE100" i="107" a="1"/>
  <c r="AE100" i="107" s="1"/>
  <c r="AD100" i="107" a="1"/>
  <c r="AD100" i="107" s="1"/>
  <c r="AC100" i="107" a="1"/>
  <c r="AC100" i="107" s="1"/>
  <c r="AB100" i="107" a="1"/>
  <c r="AB100" i="107" s="1"/>
  <c r="AA100" i="107" a="1"/>
  <c r="AA100" i="107" s="1"/>
  <c r="Z100" i="107" a="1"/>
  <c r="Z100" i="107" s="1"/>
  <c r="Y100" i="107" a="1"/>
  <c r="Y100" i="107" s="1"/>
  <c r="X100" i="107" a="1"/>
  <c r="X100" i="107" s="1"/>
  <c r="W100" i="107" a="1"/>
  <c r="W100" i="107" s="1"/>
  <c r="V100" i="107" a="1"/>
  <c r="V100" i="107" s="1"/>
  <c r="U100" i="107" a="1"/>
  <c r="U100" i="107" s="1"/>
  <c r="T100" i="107" a="1"/>
  <c r="T100" i="107" s="1"/>
  <c r="S100" i="107" a="1"/>
  <c r="S100" i="107" s="1"/>
  <c r="R100" i="107" a="1"/>
  <c r="R100" i="107" s="1"/>
  <c r="Q100" i="107" a="1"/>
  <c r="Q100" i="107" s="1"/>
  <c r="P100" i="107" a="1"/>
  <c r="P100" i="107" s="1"/>
  <c r="O100" i="107" a="1"/>
  <c r="O100" i="107" s="1"/>
  <c r="N100" i="107" a="1"/>
  <c r="N100" i="107" s="1"/>
  <c r="M100" i="107" a="1"/>
  <c r="M100" i="107" s="1"/>
  <c r="L100" i="107" a="1"/>
  <c r="L100" i="107" s="1"/>
  <c r="K100" i="107" a="1"/>
  <c r="K100" i="107" s="1"/>
  <c r="J100" i="107" a="1"/>
  <c r="J100" i="107" s="1"/>
  <c r="I100" i="107" a="1"/>
  <c r="I100" i="107" s="1"/>
  <c r="H100" i="107" a="1"/>
  <c r="H100" i="107" s="1"/>
  <c r="G100" i="107" a="1"/>
  <c r="G100" i="107" s="1"/>
  <c r="F100" i="107" a="1"/>
  <c r="F100" i="107" s="1"/>
  <c r="E100" i="107" a="1"/>
  <c r="E100" i="107" s="1"/>
  <c r="D100" i="107" a="1"/>
  <c r="D100" i="107" s="1"/>
  <c r="AH99" i="107" a="1"/>
  <c r="AH99" i="107" s="1"/>
  <c r="AG99" i="107" a="1"/>
  <c r="AG99" i="107" s="1"/>
  <c r="AF99" i="107" a="1"/>
  <c r="AF99" i="107" s="1"/>
  <c r="AE99" i="107" a="1"/>
  <c r="AE99" i="107" s="1"/>
  <c r="AD99" i="107" a="1"/>
  <c r="AD99" i="107" s="1"/>
  <c r="AC99" i="107" a="1"/>
  <c r="AC99" i="107" s="1"/>
  <c r="AB99" i="107" a="1"/>
  <c r="AB99" i="107" s="1"/>
  <c r="AA99" i="107" a="1"/>
  <c r="AA99" i="107" s="1"/>
  <c r="Z99" i="107" a="1"/>
  <c r="Z99" i="107" s="1"/>
  <c r="Y99" i="107" a="1"/>
  <c r="Y99" i="107" s="1"/>
  <c r="X99" i="107" a="1"/>
  <c r="X99" i="107" s="1"/>
  <c r="W99" i="107" a="1"/>
  <c r="W99" i="107" s="1"/>
  <c r="V99" i="107" a="1"/>
  <c r="V99" i="107" s="1"/>
  <c r="U99" i="107" a="1"/>
  <c r="U99" i="107" s="1"/>
  <c r="T99" i="107" a="1"/>
  <c r="T99" i="107" s="1"/>
  <c r="S99" i="107" a="1"/>
  <c r="S99" i="107" s="1"/>
  <c r="R99" i="107" a="1"/>
  <c r="R99" i="107" s="1"/>
  <c r="Q99" i="107" a="1"/>
  <c r="Q99" i="107" s="1"/>
  <c r="P99" i="107" a="1"/>
  <c r="P99" i="107" s="1"/>
  <c r="O99" i="107" a="1"/>
  <c r="O99" i="107" s="1"/>
  <c r="N99" i="107" a="1"/>
  <c r="N99" i="107" s="1"/>
  <c r="M99" i="107" a="1"/>
  <c r="M99" i="107" s="1"/>
  <c r="L99" i="107" a="1"/>
  <c r="L99" i="107" s="1"/>
  <c r="K99" i="107" a="1"/>
  <c r="K99" i="107" s="1"/>
  <c r="J99" i="107" a="1"/>
  <c r="J99" i="107" s="1"/>
  <c r="I99" i="107" a="1"/>
  <c r="I99" i="107" s="1"/>
  <c r="H99" i="107" a="1"/>
  <c r="H99" i="107" s="1"/>
  <c r="G99" i="107" a="1"/>
  <c r="G99" i="107" s="1"/>
  <c r="F99" i="107" a="1"/>
  <c r="F99" i="107" s="1"/>
  <c r="E99" i="107" a="1"/>
  <c r="E99" i="107" s="1"/>
  <c r="D99" i="107" a="1"/>
  <c r="D99" i="107" s="1"/>
  <c r="AH98" i="107" a="1"/>
  <c r="AH98" i="107" s="1"/>
  <c r="AG98" i="107" a="1"/>
  <c r="AG98" i="107" s="1"/>
  <c r="AF98" i="107" a="1"/>
  <c r="AF98" i="107" s="1"/>
  <c r="AE98" i="107" a="1"/>
  <c r="AE98" i="107" s="1"/>
  <c r="AD98" i="107" a="1"/>
  <c r="AD98" i="107" s="1"/>
  <c r="AC98" i="107" a="1"/>
  <c r="AC98" i="107" s="1"/>
  <c r="AB98" i="107" a="1"/>
  <c r="AB98" i="107" s="1"/>
  <c r="AA98" i="107" a="1"/>
  <c r="AA98" i="107" s="1"/>
  <c r="Z98" i="107" a="1"/>
  <c r="Z98" i="107" s="1"/>
  <c r="Y98" i="107" a="1"/>
  <c r="Y98" i="107" s="1"/>
  <c r="X98" i="107" a="1"/>
  <c r="X98" i="107" s="1"/>
  <c r="W98" i="107" a="1"/>
  <c r="W98" i="107" s="1"/>
  <c r="V98" i="107" a="1"/>
  <c r="V98" i="107" s="1"/>
  <c r="U98" i="107" a="1"/>
  <c r="U98" i="107" s="1"/>
  <c r="T98" i="107" a="1"/>
  <c r="T98" i="107" s="1"/>
  <c r="S98" i="107" a="1"/>
  <c r="S98" i="107" s="1"/>
  <c r="R98" i="107" a="1"/>
  <c r="R98" i="107" s="1"/>
  <c r="Q98" i="107" a="1"/>
  <c r="Q98" i="107" s="1"/>
  <c r="P98" i="107" a="1"/>
  <c r="P98" i="107" s="1"/>
  <c r="O98" i="107" a="1"/>
  <c r="O98" i="107" s="1"/>
  <c r="N98" i="107" a="1"/>
  <c r="N98" i="107" s="1"/>
  <c r="M98" i="107" a="1"/>
  <c r="M98" i="107" s="1"/>
  <c r="L98" i="107" a="1"/>
  <c r="L98" i="107" s="1"/>
  <c r="K98" i="107" a="1"/>
  <c r="K98" i="107" s="1"/>
  <c r="J98" i="107" a="1"/>
  <c r="J98" i="107" s="1"/>
  <c r="I98" i="107" a="1"/>
  <c r="I98" i="107" s="1"/>
  <c r="H98" i="107" a="1"/>
  <c r="H98" i="107" s="1"/>
  <c r="G98" i="107" a="1"/>
  <c r="G98" i="107" s="1"/>
  <c r="F98" i="107" a="1"/>
  <c r="F98" i="107" s="1"/>
  <c r="E98" i="107" a="1"/>
  <c r="E98" i="107" s="1"/>
  <c r="D98" i="107" a="1"/>
  <c r="D98" i="107" s="1"/>
  <c r="AH97" i="107" a="1"/>
  <c r="AH97" i="107" s="1"/>
  <c r="AG97" i="107" a="1"/>
  <c r="AG97" i="107" s="1"/>
  <c r="AF97" i="107" a="1"/>
  <c r="AF97" i="107" s="1"/>
  <c r="AE97" i="107" a="1"/>
  <c r="AE97" i="107" s="1"/>
  <c r="AD97" i="107" a="1"/>
  <c r="AD97" i="107" s="1"/>
  <c r="AC97" i="107" a="1"/>
  <c r="AC97" i="107" s="1"/>
  <c r="AB97" i="107" a="1"/>
  <c r="AB97" i="107" s="1"/>
  <c r="AA97" i="107" a="1"/>
  <c r="AA97" i="107" s="1"/>
  <c r="Z97" i="107" a="1"/>
  <c r="Z97" i="107" s="1"/>
  <c r="Y97" i="107" a="1"/>
  <c r="Y97" i="107" s="1"/>
  <c r="X97" i="107" a="1"/>
  <c r="X97" i="107" s="1"/>
  <c r="W97" i="107" a="1"/>
  <c r="W97" i="107" s="1"/>
  <c r="V97" i="107" a="1"/>
  <c r="V97" i="107" s="1"/>
  <c r="U97" i="107" a="1"/>
  <c r="U97" i="107" s="1"/>
  <c r="T97" i="107" a="1"/>
  <c r="T97"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AH96" i="107" a="1"/>
  <c r="AH96" i="107" s="1"/>
  <c r="AG96" i="107" a="1"/>
  <c r="AG96" i="107" s="1"/>
  <c r="AF96" i="107" a="1"/>
  <c r="AF96" i="107" s="1"/>
  <c r="AE96" i="107" a="1"/>
  <c r="AE96" i="107" s="1"/>
  <c r="AD96" i="107" a="1"/>
  <c r="AD96" i="107" s="1"/>
  <c r="AC96" i="107" a="1"/>
  <c r="AC96" i="107" s="1"/>
  <c r="AB96" i="107" a="1"/>
  <c r="AB96" i="107" s="1"/>
  <c r="AA96" i="107" a="1"/>
  <c r="AA96" i="107" s="1"/>
  <c r="Z96" i="107" a="1"/>
  <c r="Z96" i="107" s="1"/>
  <c r="Y96" i="107" a="1"/>
  <c r="Y96" i="107" s="1"/>
  <c r="X96" i="107" a="1"/>
  <c r="X96" i="107" s="1"/>
  <c r="W96" i="107" a="1"/>
  <c r="W96" i="107" s="1"/>
  <c r="V96" i="107" a="1"/>
  <c r="V96" i="107" s="1"/>
  <c r="U96" i="107" a="1"/>
  <c r="U96" i="107" s="1"/>
  <c r="T96" i="107" a="1"/>
  <c r="T96"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AH95" i="107" a="1"/>
  <c r="AH95" i="107" s="1"/>
  <c r="AG95" i="107" a="1"/>
  <c r="AG95" i="107" s="1"/>
  <c r="AF95" i="107" a="1"/>
  <c r="AF95" i="107" s="1"/>
  <c r="AE95" i="107" a="1"/>
  <c r="AE95" i="107" s="1"/>
  <c r="AD95" i="107" a="1"/>
  <c r="AD95" i="107" s="1"/>
  <c r="AC95" i="107" a="1"/>
  <c r="AC95" i="107" s="1"/>
  <c r="AB95" i="107" a="1"/>
  <c r="AB95" i="107" s="1"/>
  <c r="AA95" i="107" a="1"/>
  <c r="AA95" i="107" s="1"/>
  <c r="Z95" i="107" a="1"/>
  <c r="Z95" i="107" s="1"/>
  <c r="Y95" i="107" a="1"/>
  <c r="Y95" i="107" s="1"/>
  <c r="X95" i="107" a="1"/>
  <c r="X95" i="107" s="1"/>
  <c r="W95" i="107" a="1"/>
  <c r="W95" i="107" s="1"/>
  <c r="V95" i="107" a="1"/>
  <c r="V95" i="107" s="1"/>
  <c r="U95" i="107" a="1"/>
  <c r="U95" i="107" s="1"/>
  <c r="T95" i="107" a="1"/>
  <c r="T95"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AH94" i="107" a="1"/>
  <c r="AH94" i="107" s="1"/>
  <c r="AG94" i="107" a="1"/>
  <c r="AG94" i="107" s="1"/>
  <c r="AF94" i="107" a="1"/>
  <c r="AF94" i="107" s="1"/>
  <c r="AE94" i="107" a="1"/>
  <c r="AE94" i="107" s="1"/>
  <c r="AD94" i="107" a="1"/>
  <c r="AD94" i="107" s="1"/>
  <c r="AC94" i="107" a="1"/>
  <c r="AC94" i="107" s="1"/>
  <c r="AB94" i="107" a="1"/>
  <c r="AB94" i="107" s="1"/>
  <c r="AA94" i="107" a="1"/>
  <c r="AA94" i="107" s="1"/>
  <c r="Z94" i="107" a="1"/>
  <c r="Z94" i="107" s="1"/>
  <c r="Y94" i="107" a="1"/>
  <c r="Y94" i="107" s="1"/>
  <c r="X94" i="107" a="1"/>
  <c r="X94" i="107" s="1"/>
  <c r="W94" i="107" a="1"/>
  <c r="W94" i="107" s="1"/>
  <c r="V94" i="107" a="1"/>
  <c r="V94" i="107" s="1"/>
  <c r="U94" i="107" a="1"/>
  <c r="U94" i="107" s="1"/>
  <c r="T94" i="107" a="1"/>
  <c r="T94"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AH93" i="107" a="1"/>
  <c r="AH93" i="107" s="1"/>
  <c r="AG93" i="107" a="1"/>
  <c r="AG93" i="107" s="1"/>
  <c r="AF93" i="107" a="1"/>
  <c r="AF93" i="107" s="1"/>
  <c r="AE93" i="107" a="1"/>
  <c r="AE93" i="107" s="1"/>
  <c r="AD93" i="107" a="1"/>
  <c r="AD93" i="107" s="1"/>
  <c r="AC93" i="107" a="1"/>
  <c r="AC93" i="107" s="1"/>
  <c r="AB93" i="107" a="1"/>
  <c r="AB93" i="107" s="1"/>
  <c r="AA93" i="107" a="1"/>
  <c r="AA93" i="107" s="1"/>
  <c r="Z93" i="107" a="1"/>
  <c r="Z93" i="107" s="1"/>
  <c r="Y93" i="107" a="1"/>
  <c r="Y93" i="107" s="1"/>
  <c r="X93" i="107" a="1"/>
  <c r="X93" i="107" s="1"/>
  <c r="W93" i="107" a="1"/>
  <c r="W93" i="107" s="1"/>
  <c r="V93" i="107" a="1"/>
  <c r="V93" i="107" s="1"/>
  <c r="U93" i="107" a="1"/>
  <c r="U93" i="107" s="1"/>
  <c r="T93" i="107" a="1"/>
  <c r="T93"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AH92" i="107" a="1"/>
  <c r="AH92" i="107" s="1"/>
  <c r="AG92" i="107" a="1"/>
  <c r="AG92" i="107" s="1"/>
  <c r="AF92" i="107" a="1"/>
  <c r="AF92" i="107" s="1"/>
  <c r="AE92" i="107" a="1"/>
  <c r="AE92" i="107" s="1"/>
  <c r="AD92" i="107" a="1"/>
  <c r="AD92" i="107" s="1"/>
  <c r="AC92" i="107" a="1"/>
  <c r="AC92" i="107" s="1"/>
  <c r="AB92" i="107" a="1"/>
  <c r="AB92" i="107" s="1"/>
  <c r="AA92" i="107" a="1"/>
  <c r="AA92" i="107" s="1"/>
  <c r="Z92" i="107" a="1"/>
  <c r="Z92" i="107" s="1"/>
  <c r="Y92" i="107" a="1"/>
  <c r="Y92" i="107" s="1"/>
  <c r="X92" i="107" a="1"/>
  <c r="X92" i="107" s="1"/>
  <c r="W92" i="107" a="1"/>
  <c r="W92" i="107" s="1"/>
  <c r="V92" i="107" a="1"/>
  <c r="V92" i="107" s="1"/>
  <c r="U92" i="107" a="1"/>
  <c r="U92" i="107" s="1"/>
  <c r="T92" i="107" a="1"/>
  <c r="T92"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AH91" i="107" a="1"/>
  <c r="AH91" i="107" s="1"/>
  <c r="AG91" i="107" a="1"/>
  <c r="AG91" i="107" s="1"/>
  <c r="AF91" i="107" a="1"/>
  <c r="AF91" i="107" s="1"/>
  <c r="AE91" i="107" a="1"/>
  <c r="AE91" i="107" s="1"/>
  <c r="AD91" i="107" a="1"/>
  <c r="AD91" i="107" s="1"/>
  <c r="AC91" i="107" a="1"/>
  <c r="AC91" i="107" s="1"/>
  <c r="AB91" i="107" a="1"/>
  <c r="AB91" i="107" s="1"/>
  <c r="AA91" i="107" a="1"/>
  <c r="AA91" i="107" s="1"/>
  <c r="Z91" i="107" a="1"/>
  <c r="Z91" i="107" s="1"/>
  <c r="Y91" i="107" a="1"/>
  <c r="Y91" i="107" s="1"/>
  <c r="X91" i="107" a="1"/>
  <c r="X91" i="107" s="1"/>
  <c r="W91" i="107" a="1"/>
  <c r="W91" i="107" s="1"/>
  <c r="V91" i="107" a="1"/>
  <c r="V91" i="107" s="1"/>
  <c r="U91" i="107" a="1"/>
  <c r="U91" i="107" s="1"/>
  <c r="T91" i="107" a="1"/>
  <c r="T91"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AH90" i="107" a="1"/>
  <c r="AH90" i="107" s="1"/>
  <c r="AG90" i="107" a="1"/>
  <c r="AG90" i="107" s="1"/>
  <c r="AF90" i="107" a="1"/>
  <c r="AF90" i="107" s="1"/>
  <c r="AE90" i="107" a="1"/>
  <c r="AE90" i="107" s="1"/>
  <c r="AD90" i="107" a="1"/>
  <c r="AD90" i="107" s="1"/>
  <c r="AC90" i="107" a="1"/>
  <c r="AC90" i="107" s="1"/>
  <c r="AB90" i="107" a="1"/>
  <c r="AB90" i="107" s="1"/>
  <c r="AA90" i="107" a="1"/>
  <c r="AA90" i="107" s="1"/>
  <c r="Z90" i="107" a="1"/>
  <c r="Z90" i="107" s="1"/>
  <c r="Y90" i="107" a="1"/>
  <c r="Y90" i="107" s="1"/>
  <c r="X90" i="107" a="1"/>
  <c r="X90" i="107" s="1"/>
  <c r="W90" i="107" a="1"/>
  <c r="W90" i="107" s="1"/>
  <c r="V90" i="107" a="1"/>
  <c r="V90" i="107" s="1"/>
  <c r="U90" i="107" a="1"/>
  <c r="U90" i="107" s="1"/>
  <c r="T90" i="107" a="1"/>
  <c r="T90"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Z20" i="100" s="1"/>
  <c r="D90" i="107" a="1"/>
  <c r="D90" i="107" s="1"/>
  <c r="F83" i="107" a="1"/>
  <c r="F83" i="107" s="1"/>
  <c r="E83" i="107" a="1"/>
  <c r="E83" i="107" s="1"/>
  <c r="J91" i="106" s="1"/>
  <c r="D83" i="107" a="1"/>
  <c r="D83" i="107" s="1"/>
  <c r="D82" i="107" a="1"/>
  <c r="D82" i="107" s="1"/>
  <c r="D81" i="107" a="1"/>
  <c r="D81" i="107" s="1"/>
  <c r="F78" i="107" a="1"/>
  <c r="F78" i="107" s="1"/>
  <c r="E78" i="107" a="1"/>
  <c r="E78" i="107" s="1"/>
  <c r="I15" i="106" s="1"/>
  <c r="D78" i="107" a="1"/>
  <c r="D78" i="107" s="1"/>
  <c r="D77" i="107" a="1"/>
  <c r="D77" i="107" s="1"/>
  <c r="D76" i="107" a="1"/>
  <c r="D76" i="107" s="1"/>
  <c r="F73" i="107" a="1"/>
  <c r="F73" i="107" s="1"/>
  <c r="E73" i="107" a="1"/>
  <c r="E73" i="107" s="1"/>
  <c r="I97" i="105" s="1"/>
  <c r="D73" i="107" a="1"/>
  <c r="D73" i="107" s="1"/>
  <c r="D72" i="107" a="1"/>
  <c r="D72" i="107" s="1"/>
  <c r="D71" i="107" a="1"/>
  <c r="D71" i="107" s="1"/>
  <c r="F68" i="107" a="1"/>
  <c r="F68" i="107" s="1"/>
  <c r="E68" i="107" a="1"/>
  <c r="E68" i="107" s="1"/>
  <c r="D68" i="107" a="1"/>
  <c r="D68" i="107" s="1"/>
  <c r="F67" i="107" a="1"/>
  <c r="F67" i="107" s="1"/>
  <c r="I19" i="104" s="1"/>
  <c r="E67" i="107" a="1"/>
  <c r="E67" i="107" s="1"/>
  <c r="I18" i="104" s="1"/>
  <c r="D67" i="107" a="1"/>
  <c r="D67" i="107" s="1"/>
  <c r="F66" i="107" a="1"/>
  <c r="F66" i="107" s="1"/>
  <c r="I16" i="104" s="1"/>
  <c r="E66" i="107" a="1"/>
  <c r="E66" i="107" s="1"/>
  <c r="I15" i="104" s="1"/>
  <c r="D66" i="107" a="1"/>
  <c r="D66" i="107" s="1"/>
  <c r="D64" i="107" a="1"/>
  <c r="D64" i="107" s="1"/>
  <c r="D63" i="107" a="1"/>
  <c r="D63" i="107" s="1"/>
  <c r="F60" i="107" a="1"/>
  <c r="F60" i="107" s="1"/>
  <c r="E60" i="107" a="1"/>
  <c r="E60" i="107" s="1"/>
  <c r="I50" i="102" s="1"/>
  <c r="D60" i="107" a="1"/>
  <c r="D60" i="107" s="1"/>
  <c r="D59" i="107" a="1"/>
  <c r="D59" i="107" s="1"/>
  <c r="D58" i="107" a="1"/>
  <c r="D58" i="107" s="1"/>
  <c r="E55" i="107" a="1"/>
  <c r="E55" i="107" s="1"/>
  <c r="D55" i="107" a="1"/>
  <c r="D55" i="107" s="1"/>
  <c r="E54" i="107" a="1"/>
  <c r="E54" i="107" s="1"/>
  <c r="D54" i="107" a="1"/>
  <c r="D54" i="107" s="1"/>
  <c r="E53" i="107" a="1"/>
  <c r="E53" i="107" s="1"/>
  <c r="D53" i="107" a="1"/>
  <c r="D53" i="107" s="1"/>
  <c r="E52" i="107" a="1"/>
  <c r="E52" i="107" s="1"/>
  <c r="D52" i="107" a="1"/>
  <c r="D52" i="107" s="1"/>
  <c r="E51" i="107" a="1"/>
  <c r="E51" i="107" s="1"/>
  <c r="D51" i="107" a="1"/>
  <c r="D51" i="107" s="1"/>
  <c r="D49" i="107" a="1"/>
  <c r="D49" i="107" s="1"/>
  <c r="D48" i="107" a="1"/>
  <c r="D48" i="107" s="1"/>
  <c r="I38" i="107" a="1"/>
  <c r="I38" i="107" s="1"/>
  <c r="H38" i="107" a="1"/>
  <c r="H38" i="107" s="1"/>
  <c r="G38" i="107" a="1"/>
  <c r="G38" i="107" s="1"/>
  <c r="F38" i="107" a="1"/>
  <c r="F38" i="107" s="1"/>
  <c r="E38" i="107" a="1"/>
  <c r="E38" i="107" s="1"/>
  <c r="D38" i="107" a="1"/>
  <c r="D38" i="107" s="1"/>
  <c r="G180" i="118" s="1"/>
  <c r="I37" i="107" a="1"/>
  <c r="I37" i="107" s="1"/>
  <c r="H37" i="107" a="1"/>
  <c r="H37" i="107" s="1"/>
  <c r="G37" i="107" a="1"/>
  <c r="G37" i="107" s="1"/>
  <c r="F37" i="107" a="1"/>
  <c r="F37" i="107" s="1"/>
  <c r="E37" i="107" a="1"/>
  <c r="E37" i="107" s="1"/>
  <c r="D37" i="107" a="1"/>
  <c r="D37" i="107" s="1"/>
  <c r="G175" i="118" s="1"/>
  <c r="I36" i="107" a="1"/>
  <c r="I36" i="107" s="1"/>
  <c r="H36" i="107" a="1"/>
  <c r="H36" i="107" s="1"/>
  <c r="G36" i="107" a="1"/>
  <c r="G36" i="107" s="1"/>
  <c r="F36" i="107" a="1"/>
  <c r="F36" i="107" s="1"/>
  <c r="E36" i="107" a="1"/>
  <c r="E36" i="107" s="1"/>
  <c r="D36" i="107" a="1"/>
  <c r="D36" i="107" s="1"/>
  <c r="G190" i="118" s="1"/>
  <c r="I35" i="107" a="1"/>
  <c r="I35" i="107" s="1"/>
  <c r="H35" i="107" a="1"/>
  <c r="H35" i="107" s="1"/>
  <c r="G35" i="107" a="1"/>
  <c r="G35" i="107" s="1"/>
  <c r="F35" i="107" a="1"/>
  <c r="F35" i="107" s="1"/>
  <c r="E35" i="107" a="1"/>
  <c r="E35" i="107" s="1"/>
  <c r="D35" i="107" a="1"/>
  <c r="D35" i="107" s="1"/>
  <c r="G182" i="118" s="1"/>
  <c r="I34" i="107" a="1"/>
  <c r="I34" i="107" s="1"/>
  <c r="H34" i="107" a="1"/>
  <c r="H34" i="107" s="1"/>
  <c r="G34" i="107" a="1"/>
  <c r="G34" i="107" s="1"/>
  <c r="F34" i="107" a="1"/>
  <c r="F34" i="107" s="1"/>
  <c r="E34" i="107" a="1"/>
  <c r="E34" i="107" s="1"/>
  <c r="D34" i="107" a="1"/>
  <c r="D34" i="107" s="1"/>
  <c r="G184" i="118" s="1"/>
  <c r="I33" i="107" a="1"/>
  <c r="I33" i="107" s="1"/>
  <c r="H33" i="107" a="1"/>
  <c r="H33" i="107" s="1"/>
  <c r="G33" i="107" a="1"/>
  <c r="G33" i="107" s="1"/>
  <c r="F33" i="107" a="1"/>
  <c r="F33" i="107" s="1"/>
  <c r="E33" i="107" a="1"/>
  <c r="E33" i="107" s="1"/>
  <c r="D33" i="107" a="1"/>
  <c r="D33" i="107" s="1"/>
  <c r="G198" i="118" s="1"/>
  <c r="I32" i="107" a="1"/>
  <c r="I32" i="107" s="1"/>
  <c r="H32" i="107" a="1"/>
  <c r="H32" i="107" s="1"/>
  <c r="G32" i="107" a="1"/>
  <c r="G32" i="107" s="1"/>
  <c r="F32" i="107" a="1"/>
  <c r="F32" i="107" s="1"/>
  <c r="E32" i="107" a="1"/>
  <c r="E32" i="107" s="1"/>
  <c r="D32" i="107" a="1"/>
  <c r="D32" i="107" s="1"/>
  <c r="G191" i="118" s="1"/>
  <c r="I31" i="107" a="1"/>
  <c r="I31" i="107" s="1"/>
  <c r="H31" i="107" a="1"/>
  <c r="H31" i="107" s="1"/>
  <c r="G31" i="107" a="1"/>
  <c r="G31" i="107" s="1"/>
  <c r="F31" i="107" a="1"/>
  <c r="F31" i="107" s="1"/>
  <c r="E31" i="107" a="1"/>
  <c r="E31" i="107" s="1"/>
  <c r="D31" i="107" a="1"/>
  <c r="D31" i="107" s="1"/>
  <c r="G189" i="118" s="1"/>
  <c r="I30" i="107" a="1"/>
  <c r="I30" i="107" s="1"/>
  <c r="H30" i="107" a="1"/>
  <c r="H30" i="107" s="1"/>
  <c r="G30" i="107" a="1"/>
  <c r="G30" i="107" s="1"/>
  <c r="F30" i="107" a="1"/>
  <c r="F30" i="107" s="1"/>
  <c r="E30" i="107" a="1"/>
  <c r="E30" i="107" s="1"/>
  <c r="D30" i="107" a="1"/>
  <c r="D30" i="107" s="1"/>
  <c r="G188" i="118" s="1"/>
  <c r="I29" i="107" a="1"/>
  <c r="I29" i="107" s="1"/>
  <c r="H29" i="107" a="1"/>
  <c r="H29" i="107" s="1"/>
  <c r="G29" i="107" a="1"/>
  <c r="G29" i="107" s="1"/>
  <c r="F29" i="107" a="1"/>
  <c r="F29" i="107" s="1"/>
  <c r="E29" i="107" a="1"/>
  <c r="E29" i="107" s="1"/>
  <c r="D29" i="107" a="1"/>
  <c r="D29" i="107" s="1"/>
  <c r="G186" i="118" s="1"/>
  <c r="R28" i="107" a="1"/>
  <c r="R28" i="107" s="1"/>
  <c r="Q28" i="107" a="1"/>
  <c r="Q28" i="107" s="1"/>
  <c r="L28" i="107" a="1"/>
  <c r="L28" i="107" s="1"/>
  <c r="K28" i="107" a="1"/>
  <c r="K28" i="107" s="1"/>
  <c r="I28" i="107" a="1"/>
  <c r="I28" i="107" s="1"/>
  <c r="H28" i="107" a="1"/>
  <c r="H28" i="107" s="1"/>
  <c r="G28" i="107" a="1"/>
  <c r="G28" i="107" s="1"/>
  <c r="F28" i="107" a="1"/>
  <c r="F28" i="107" s="1"/>
  <c r="E28" i="107" a="1"/>
  <c r="E28" i="107" s="1"/>
  <c r="D28" i="107" a="1"/>
  <c r="D28" i="107" s="1"/>
  <c r="G187" i="118" s="1"/>
  <c r="R27" i="107" a="1"/>
  <c r="R27" i="107" s="1"/>
  <c r="Q27" i="107" a="1"/>
  <c r="Q27" i="107" s="1"/>
  <c r="L27" i="107" a="1"/>
  <c r="L27" i="107" s="1"/>
  <c r="K27" i="107" a="1"/>
  <c r="K27" i="107" s="1"/>
  <c r="I27" i="107" a="1"/>
  <c r="I27" i="107" s="1"/>
  <c r="H27" i="107" a="1"/>
  <c r="H27" i="107" s="1"/>
  <c r="G27" i="107" a="1"/>
  <c r="G27" i="107" s="1"/>
  <c r="F27" i="107" a="1"/>
  <c r="F27" i="107" s="1"/>
  <c r="E27" i="107" a="1"/>
  <c r="E27" i="107" s="1"/>
  <c r="D27" i="107" a="1"/>
  <c r="D27" i="107" s="1"/>
  <c r="G185" i="118" s="1"/>
  <c r="R26" i="107" a="1"/>
  <c r="R26" i="107" s="1"/>
  <c r="Q26" i="107" a="1"/>
  <c r="Q26" i="107" s="1"/>
  <c r="L26" i="107" a="1"/>
  <c r="L26" i="107" s="1"/>
  <c r="K26" i="107" a="1"/>
  <c r="K26" i="107" s="1"/>
  <c r="I26" i="107" a="1"/>
  <c r="I26" i="107" s="1"/>
  <c r="H26" i="107" a="1"/>
  <c r="H26" i="107" s="1"/>
  <c r="G26" i="107" a="1"/>
  <c r="G26" i="107" s="1"/>
  <c r="F26" i="107" a="1"/>
  <c r="F26" i="107" s="1"/>
  <c r="E26" i="107" a="1"/>
  <c r="E26" i="107" s="1"/>
  <c r="D26" i="107" a="1"/>
  <c r="D26" i="107" s="1"/>
  <c r="G179" i="118" s="1"/>
  <c r="R25" i="107" a="1"/>
  <c r="R25" i="107" s="1"/>
  <c r="Q25" i="107" a="1"/>
  <c r="Q25" i="107" s="1"/>
  <c r="L25" i="107" a="1"/>
  <c r="L25" i="107" s="1"/>
  <c r="K25" i="107" a="1"/>
  <c r="K25" i="107" s="1"/>
  <c r="I25" i="107" a="1"/>
  <c r="I25" i="107" s="1"/>
  <c r="H25" i="107" a="1"/>
  <c r="H25" i="107" s="1"/>
  <c r="G25" i="107" a="1"/>
  <c r="G25" i="107" s="1"/>
  <c r="F25" i="107" a="1"/>
  <c r="F25" i="107" s="1"/>
  <c r="E25" i="107" a="1"/>
  <c r="E25" i="107" s="1"/>
  <c r="D25" i="107" a="1"/>
  <c r="D25" i="107" s="1"/>
  <c r="G178" i="118" s="1"/>
  <c r="R24" i="107" a="1"/>
  <c r="R24" i="107" s="1"/>
  <c r="Q24" i="107" a="1"/>
  <c r="Q24" i="107" s="1"/>
  <c r="L24" i="107" a="1"/>
  <c r="L24" i="107" s="1"/>
  <c r="K24" i="107" a="1"/>
  <c r="K24" i="107" s="1"/>
  <c r="I24" i="107" a="1"/>
  <c r="I24" i="107" s="1"/>
  <c r="H24" i="107" a="1"/>
  <c r="H24" i="107" s="1"/>
  <c r="G24" i="107" a="1"/>
  <c r="G24" i="107" s="1"/>
  <c r="F24" i="107" a="1"/>
  <c r="F24" i="107" s="1"/>
  <c r="E24" i="107" a="1"/>
  <c r="E24" i="107" s="1"/>
  <c r="D24" i="107" a="1"/>
  <c r="D24" i="107" s="1"/>
  <c r="G193" i="118" s="1"/>
  <c r="V23" i="107" a="1"/>
  <c r="V23" i="107" s="1"/>
  <c r="R23" i="107" a="1"/>
  <c r="R23" i="107" s="1"/>
  <c r="Q23" i="107" a="1"/>
  <c r="Q23" i="107" s="1"/>
  <c r="L23" i="107" a="1"/>
  <c r="L23" i="107" s="1"/>
  <c r="K23" i="107" a="1"/>
  <c r="K23" i="107" s="1"/>
  <c r="I23" i="107" a="1"/>
  <c r="I23" i="107" s="1"/>
  <c r="H23" i="107" a="1"/>
  <c r="H23" i="107" s="1"/>
  <c r="G23" i="107" a="1"/>
  <c r="G23" i="107" s="1"/>
  <c r="F23" i="107" a="1"/>
  <c r="F23" i="107" s="1"/>
  <c r="E23" i="107" a="1"/>
  <c r="E23" i="107" s="1"/>
  <c r="D23" i="107" a="1"/>
  <c r="D23" i="107" s="1"/>
  <c r="G192" i="118" s="1"/>
  <c r="V22" i="107" a="1"/>
  <c r="V22" i="107" s="1"/>
  <c r="H196" i="118" s="1"/>
  <c r="R22" i="107" a="1"/>
  <c r="R22" i="107" s="1"/>
  <c r="Q22" i="107" a="1"/>
  <c r="Q22" i="107" s="1"/>
  <c r="L22" i="107" a="1"/>
  <c r="L22" i="107" s="1"/>
  <c r="K22" i="107" a="1"/>
  <c r="K22" i="107" s="1"/>
  <c r="I22" i="107" a="1"/>
  <c r="I22" i="107" s="1"/>
  <c r="H22" i="107" a="1"/>
  <c r="H22" i="107" s="1"/>
  <c r="G22" i="107" a="1"/>
  <c r="G22" i="107" s="1"/>
  <c r="F22" i="107" a="1"/>
  <c r="F22" i="107" s="1"/>
  <c r="E22" i="107" a="1"/>
  <c r="E22" i="107" s="1"/>
  <c r="D22" i="107" a="1"/>
  <c r="D22" i="107" s="1"/>
  <c r="G197" i="118" s="1"/>
  <c r="V21" i="107" a="1"/>
  <c r="V21" i="107" s="1"/>
  <c r="I175" i="118" s="1"/>
  <c r="R21" i="107" a="1"/>
  <c r="R21" i="107" s="1"/>
  <c r="Q21" i="107" a="1"/>
  <c r="Q21" i="107" s="1"/>
  <c r="L21" i="107" a="1"/>
  <c r="L21" i="107" s="1"/>
  <c r="K21" i="107" a="1"/>
  <c r="K21" i="107" s="1"/>
  <c r="I21" i="107" a="1"/>
  <c r="I21" i="107" s="1"/>
  <c r="H21" i="107" a="1"/>
  <c r="H21" i="107" s="1"/>
  <c r="G21" i="107" a="1"/>
  <c r="G21" i="107" s="1"/>
  <c r="F21" i="107" a="1"/>
  <c r="F21" i="107" s="1"/>
  <c r="E21" i="107" a="1"/>
  <c r="E21" i="107" s="1"/>
  <c r="D21" i="107" a="1"/>
  <c r="D21" i="107" s="1"/>
  <c r="G181" i="118" s="1"/>
  <c r="V20" i="107" a="1"/>
  <c r="V20" i="107" s="1"/>
  <c r="H194" i="118" s="1"/>
  <c r="R20" i="107" a="1"/>
  <c r="R20" i="107" s="1"/>
  <c r="Q20" i="107" a="1"/>
  <c r="Q20" i="107" s="1"/>
  <c r="L20" i="107" a="1"/>
  <c r="L20" i="107" s="1"/>
  <c r="K20" i="107" a="1"/>
  <c r="K20" i="107" s="1"/>
  <c r="I20" i="107" a="1"/>
  <c r="I20" i="107" s="1"/>
  <c r="H20" i="107" a="1"/>
  <c r="H20" i="107" s="1"/>
  <c r="G20" i="107" a="1"/>
  <c r="G20" i="107" s="1"/>
  <c r="F20" i="107" a="1"/>
  <c r="F20" i="107" s="1"/>
  <c r="E20" i="107" a="1"/>
  <c r="E20" i="107" s="1"/>
  <c r="D20" i="107" a="1"/>
  <c r="D20" i="107" s="1"/>
  <c r="V18" i="107" a="1"/>
  <c r="V18" i="107" s="1"/>
  <c r="Q18" i="107" a="1"/>
  <c r="Q18" i="107" s="1"/>
  <c r="K18" i="107" a="1"/>
  <c r="K18" i="107" s="1"/>
  <c r="V17" i="107" a="1"/>
  <c r="V17" i="107" s="1"/>
  <c r="Q17" i="107" a="1"/>
  <c r="Q17" i="107" s="1"/>
  <c r="K17" i="107" a="1"/>
  <c r="K17" i="107" s="1"/>
  <c r="D7" i="107" a="1"/>
  <c r="D7" i="107" s="1"/>
  <c r="D6" i="107" a="1"/>
  <c r="D6" i="107" s="1"/>
  <c r="D5" i="107" a="1"/>
  <c r="D5" i="107" s="1"/>
  <c r="F99" i="106" a="1"/>
  <c r="F99" i="106" s="1"/>
  <c r="D96" i="106" a="1"/>
  <c r="D96" i="106" s="1"/>
  <c r="H89" i="106" a="1"/>
  <c r="H89" i="106" s="1"/>
  <c r="D89" i="106" a="1"/>
  <c r="D89" i="106" s="1"/>
  <c r="E87" i="106" a="1"/>
  <c r="E87" i="106" s="1"/>
  <c r="F94" i="106" s="1"/>
  <c r="E86" i="106" a="1"/>
  <c r="E86" i="106" s="1"/>
  <c r="D82" i="106" a="1"/>
  <c r="D82" i="106" s="1"/>
  <c r="D81" i="106" a="1"/>
  <c r="D81" i="106" s="1"/>
  <c r="D67" i="106"/>
  <c r="D66" i="106"/>
  <c r="D65" i="106"/>
  <c r="I60" i="106"/>
  <c r="I59" i="106"/>
  <c r="I58" i="106"/>
  <c r="I55" i="106" a="1"/>
  <c r="I55" i="106" s="1"/>
  <c r="G55" i="106" a="1"/>
  <c r="G55" i="106" s="1"/>
  <c r="D55" i="106" a="1"/>
  <c r="D55" i="106" s="1"/>
  <c r="E53" i="106" a="1"/>
  <c r="E53" i="106" s="1"/>
  <c r="F77" i="106" s="1"/>
  <c r="E52" i="106" a="1"/>
  <c r="E52" i="106" s="1"/>
  <c r="D48" i="106" a="1"/>
  <c r="D48" i="106" s="1"/>
  <c r="D47" i="106" a="1"/>
  <c r="D47" i="106" s="1"/>
  <c r="I18" i="106"/>
  <c r="I17" i="106"/>
  <c r="I16" i="106"/>
  <c r="I13" i="106" a="1"/>
  <c r="I13" i="106" s="1"/>
  <c r="G13" i="106" a="1"/>
  <c r="G13" i="106" s="1"/>
  <c r="D13" i="106" a="1"/>
  <c r="D13" i="106" s="1"/>
  <c r="E11" i="106" a="1"/>
  <c r="E11" i="106" s="1"/>
  <c r="F43" i="106" s="1"/>
  <c r="E10" i="106" a="1"/>
  <c r="E10" i="106" s="1"/>
  <c r="D6" i="106" a="1"/>
  <c r="D6" i="106" s="1"/>
  <c r="D5" i="106" a="1"/>
  <c r="D5" i="106" s="1"/>
  <c r="F151" i="105" a="1"/>
  <c r="F151" i="105" s="1"/>
  <c r="D148" i="105" a="1"/>
  <c r="D148" i="105" s="1"/>
  <c r="I128" i="105"/>
  <c r="I127" i="105"/>
  <c r="I124" i="105" a="1"/>
  <c r="I124" i="105" s="1"/>
  <c r="G124" i="105" a="1"/>
  <c r="G124" i="105" s="1"/>
  <c r="D124" i="105" a="1"/>
  <c r="D124" i="105" s="1"/>
  <c r="E122" i="105" a="1"/>
  <c r="E122" i="105" s="1"/>
  <c r="F146" i="105" s="1"/>
  <c r="E121" i="105" a="1"/>
  <c r="E121" i="105" s="1"/>
  <c r="D117" i="105" a="1"/>
  <c r="D117" i="105" s="1"/>
  <c r="D116" i="105" a="1"/>
  <c r="D116" i="105" s="1"/>
  <c r="I96" i="105" a="1"/>
  <c r="I96" i="105" s="1"/>
  <c r="G96" i="105" a="1"/>
  <c r="G96" i="105" s="1"/>
  <c r="D96" i="105" a="1"/>
  <c r="D96" i="105" s="1"/>
  <c r="E94" i="105" a="1"/>
  <c r="E94" i="105" s="1"/>
  <c r="G102" i="105" s="1"/>
  <c r="E93" i="105" a="1"/>
  <c r="E93" i="105" s="1"/>
  <c r="D89" i="105" a="1"/>
  <c r="D89" i="105" s="1"/>
  <c r="D88" i="105" a="1"/>
  <c r="D88" i="105" s="1"/>
  <c r="F84" i="105" a="1"/>
  <c r="F84" i="105" s="1"/>
  <c r="D81" i="105" a="1"/>
  <c r="D81" i="105" s="1"/>
  <c r="J53" i="105"/>
  <c r="J52" i="105"/>
  <c r="J49" i="105" a="1"/>
  <c r="J49" i="105" s="1"/>
  <c r="H49" i="105" a="1"/>
  <c r="H49" i="105" s="1"/>
  <c r="D49" i="105" a="1"/>
  <c r="D49" i="105" s="1"/>
  <c r="E47" i="105" a="1"/>
  <c r="E47" i="105" s="1"/>
  <c r="E46" i="105" a="1"/>
  <c r="E46" i="105" s="1"/>
  <c r="D42" i="105" a="1"/>
  <c r="D42" i="105" s="1"/>
  <c r="D41" i="105" a="1"/>
  <c r="D41" i="105" s="1"/>
  <c r="I14" i="105" a="1"/>
  <c r="I14" i="105" s="1"/>
  <c r="I13" i="105" a="1"/>
  <c r="I13" i="105" s="1"/>
  <c r="G13" i="105" a="1"/>
  <c r="G13" i="105" s="1"/>
  <c r="D13" i="105" a="1"/>
  <c r="D13" i="105" s="1"/>
  <c r="E11" i="105" a="1"/>
  <c r="E11" i="105" s="1"/>
  <c r="E10" i="105" a="1"/>
  <c r="E10" i="105" s="1"/>
  <c r="D6" i="105" a="1"/>
  <c r="D6" i="105" s="1"/>
  <c r="D5" i="105" a="1"/>
  <c r="D5" i="105" s="1"/>
  <c r="I17" i="104" a="1"/>
  <c r="I17" i="104" s="1"/>
  <c r="I14" i="104" a="1"/>
  <c r="I14" i="104" s="1"/>
  <c r="I13" i="104" a="1"/>
  <c r="I13" i="104" s="1"/>
  <c r="G13" i="104" a="1"/>
  <c r="G13" i="104" s="1"/>
  <c r="D13" i="104" a="1"/>
  <c r="D13" i="104" s="1"/>
  <c r="E11" i="104" a="1"/>
  <c r="E11" i="104" s="1"/>
  <c r="E10" i="104" a="1"/>
  <c r="E10" i="104" s="1"/>
  <c r="D6" i="104" a="1"/>
  <c r="D6" i="104" s="1"/>
  <c r="D5" i="104" a="1"/>
  <c r="D5" i="104" s="1"/>
  <c r="F55" i="103" a="1"/>
  <c r="F55" i="103" s="1"/>
  <c r="D52" i="103" a="1"/>
  <c r="D52" i="103" s="1"/>
  <c r="K47" i="103"/>
  <c r="I44" i="103" a="1"/>
  <c r="I44" i="103" s="1"/>
  <c r="D44" i="103" a="1"/>
  <c r="D44" i="103" s="1"/>
  <c r="E42" i="103" a="1"/>
  <c r="E42" i="103" s="1"/>
  <c r="F50" i="103" s="1"/>
  <c r="E41" i="103" a="1"/>
  <c r="E41" i="103" s="1"/>
  <c r="D37" i="103" a="1"/>
  <c r="D37" i="103" s="1"/>
  <c r="D36" i="103" a="1"/>
  <c r="D36" i="103" s="1"/>
  <c r="I30" i="103" a="1"/>
  <c r="I30" i="103" s="1"/>
  <c r="I29" i="103" a="1"/>
  <c r="I29" i="103" s="1"/>
  <c r="E74" i="106" s="1"/>
  <c r="I28" i="103" a="1"/>
  <c r="I28" i="103" s="1"/>
  <c r="E110" i="105" s="1"/>
  <c r="I27" i="103" a="1"/>
  <c r="I27" i="103" s="1"/>
  <c r="I26" i="103" a="1"/>
  <c r="I26" i="103" s="1"/>
  <c r="E71" i="106" s="1"/>
  <c r="I25" i="103" a="1"/>
  <c r="I25" i="103" s="1"/>
  <c r="E107" i="105" s="1"/>
  <c r="I24" i="103" a="1"/>
  <c r="I24" i="103" s="1"/>
  <c r="I23" i="103" a="1"/>
  <c r="I23" i="103" s="1"/>
  <c r="I15" i="103" a="1"/>
  <c r="I15" i="103" s="1"/>
  <c r="I14" i="103" a="1"/>
  <c r="I14" i="103" s="1"/>
  <c r="I13" i="103" a="1"/>
  <c r="I13" i="103" s="1"/>
  <c r="G13" i="103" a="1"/>
  <c r="G13" i="103" s="1"/>
  <c r="D13" i="103" a="1"/>
  <c r="D13" i="103" s="1"/>
  <c r="E11" i="103" a="1"/>
  <c r="E11" i="103" s="1"/>
  <c r="F32" i="103" s="1"/>
  <c r="E10" i="103" a="1"/>
  <c r="E10" i="103" s="1"/>
  <c r="D6" i="103" a="1"/>
  <c r="D6" i="103" s="1"/>
  <c r="D5" i="103" a="1"/>
  <c r="D5" i="103" s="1"/>
  <c r="I53" i="102" a="1"/>
  <c r="I53" i="102" s="1"/>
  <c r="I52" i="102"/>
  <c r="I49" i="102" a="1"/>
  <c r="I49" i="102" s="1"/>
  <c r="G49" i="102" a="1"/>
  <c r="G49" i="102" s="1"/>
  <c r="D49" i="102" a="1"/>
  <c r="D49" i="102" s="1"/>
  <c r="E47" i="102" a="1"/>
  <c r="E47" i="102" s="1"/>
  <c r="E46" i="102" a="1"/>
  <c r="E46" i="102" s="1"/>
  <c r="D42" i="102" a="1"/>
  <c r="D42" i="102" s="1"/>
  <c r="D41" i="102" a="1"/>
  <c r="D41" i="102" s="1"/>
  <c r="I14" i="102" a="1"/>
  <c r="I14" i="102" s="1"/>
  <c r="I13" i="102" a="1"/>
  <c r="I13" i="102" s="1"/>
  <c r="G13" i="102" a="1"/>
  <c r="G13" i="102" s="1"/>
  <c r="D13" i="102" a="1"/>
  <c r="D13" i="102" s="1"/>
  <c r="E11" i="102" a="1"/>
  <c r="E11" i="102" s="1"/>
  <c r="E10" i="102" a="1"/>
  <c r="E10" i="102" s="1"/>
  <c r="D6" i="102" a="1"/>
  <c r="D6" i="102" s="1"/>
  <c r="D5" i="102" a="1"/>
  <c r="D5" i="102" s="1"/>
  <c r="O115" i="101" a="1"/>
  <c r="O115" i="101" s="1"/>
  <c r="M112" i="101" a="1"/>
  <c r="M112" i="101" s="1"/>
  <c r="S98" i="101"/>
  <c r="S96" i="101"/>
  <c r="N107" i="101" s="1"/>
  <c r="S95" i="101"/>
  <c r="Q92" i="101" a="1"/>
  <c r="Q92" i="101" s="1"/>
  <c r="M92" i="101" a="1"/>
  <c r="M92" i="101" s="1"/>
  <c r="N90" i="101" a="1"/>
  <c r="N90" i="101" s="1"/>
  <c r="N89" i="101" a="1"/>
  <c r="N89" i="101" s="1"/>
  <c r="F85" i="101" a="1"/>
  <c r="F85" i="101" s="1"/>
  <c r="M84" i="101" a="1"/>
  <c r="M84" i="101" s="1"/>
  <c r="M83" i="101" a="1"/>
  <c r="M83" i="101" s="1"/>
  <c r="D82" i="101" a="1"/>
  <c r="D82" i="101" s="1"/>
  <c r="P76" i="101" a="1"/>
  <c r="P76" i="101" s="1"/>
  <c r="M76" i="101" a="1"/>
  <c r="M76" i="101" s="1"/>
  <c r="N72" i="101" a="1"/>
  <c r="N72" i="101" s="1"/>
  <c r="O79" i="101" s="1"/>
  <c r="N71" i="101" a="1"/>
  <c r="N71" i="101" s="1"/>
  <c r="M67" i="101" a="1"/>
  <c r="M67" i="101" s="1"/>
  <c r="M66" i="101" a="1"/>
  <c r="M66" i="101" s="1"/>
  <c r="P60" i="101" a="1"/>
  <c r="P60" i="101" s="1"/>
  <c r="M60" i="101" a="1"/>
  <c r="M60" i="101" s="1"/>
  <c r="N58" i="101" a="1"/>
  <c r="N58" i="101" s="1"/>
  <c r="O63" i="101" s="1"/>
  <c r="N57" i="101" a="1"/>
  <c r="N57" i="101" s="1"/>
  <c r="M54" i="101" a="1"/>
  <c r="M54" i="101" s="1"/>
  <c r="I54" i="101"/>
  <c r="M53" i="101" a="1"/>
  <c r="M53" i="101" s="1"/>
  <c r="I53" i="101"/>
  <c r="I52" i="101"/>
  <c r="I49" i="101" a="1"/>
  <c r="I49" i="101" s="1"/>
  <c r="G49" i="101" a="1"/>
  <c r="G49" i="101" s="1"/>
  <c r="D49" i="101" a="1"/>
  <c r="D49" i="101" s="1"/>
  <c r="E47" i="101" a="1"/>
  <c r="E47" i="101" s="1"/>
  <c r="P46" i="101" a="1"/>
  <c r="P46" i="101" s="1"/>
  <c r="M46" i="101" a="1"/>
  <c r="M46" i="101" s="1"/>
  <c r="E46" i="101" a="1"/>
  <c r="E46" i="101" s="1"/>
  <c r="N44" i="101" a="1"/>
  <c r="N44" i="101" s="1"/>
  <c r="O49" i="101" s="1"/>
  <c r="N43" i="101" a="1"/>
  <c r="N43" i="101" s="1"/>
  <c r="D41" i="101" a="1"/>
  <c r="D41" i="101" s="1"/>
  <c r="M40" i="101" a="1"/>
  <c r="M40" i="101" s="1"/>
  <c r="D40" i="101" a="1"/>
  <c r="D40" i="101" s="1"/>
  <c r="M39" i="101" a="1"/>
  <c r="M39" i="101" s="1"/>
  <c r="I14" i="101" a="1"/>
  <c r="I14" i="101" s="1"/>
  <c r="I13" i="101" a="1"/>
  <c r="I13" i="101" s="1"/>
  <c r="G13" i="101" a="1"/>
  <c r="G13" i="101" s="1"/>
  <c r="D13" i="101" a="1"/>
  <c r="D13" i="101" s="1"/>
  <c r="E11" i="101" a="1"/>
  <c r="E11" i="101" s="1"/>
  <c r="E10" i="101" a="1"/>
  <c r="E10" i="101" s="1"/>
  <c r="D6" i="101" a="1"/>
  <c r="D6" i="101" s="1"/>
  <c r="D5" i="101" a="1"/>
  <c r="D5" i="101" s="1"/>
  <c r="H56" i="100"/>
  <c r="I56" i="100" s="1"/>
  <c r="G56" i="100"/>
  <c r="H55" i="100"/>
  <c r="I55" i="100" s="1"/>
  <c r="G55" i="100"/>
  <c r="H54" i="100"/>
  <c r="I54" i="100" s="1"/>
  <c r="G54" i="100"/>
  <c r="K44" i="100"/>
  <c r="F44" i="100"/>
  <c r="G44" i="100" s="1"/>
  <c r="K43" i="100"/>
  <c r="F43" i="100"/>
  <c r="G43" i="100" s="1"/>
  <c r="K42" i="100"/>
  <c r="F42" i="100"/>
  <c r="G42" i="100" s="1"/>
  <c r="F34" i="100"/>
  <c r="G34" i="100" s="1"/>
  <c r="F33" i="100"/>
  <c r="G33" i="100" s="1"/>
  <c r="F32" i="100"/>
  <c r="G32" i="100" s="1"/>
  <c r="F31" i="100"/>
  <c r="G31" i="100" s="1"/>
  <c r="F30" i="100"/>
  <c r="G30" i="100" s="1"/>
  <c r="F29" i="100"/>
  <c r="G29" i="100" s="1"/>
  <c r="F28" i="100"/>
  <c r="G28" i="100" s="1"/>
  <c r="F27" i="100"/>
  <c r="G27" i="100" s="1"/>
  <c r="F26" i="100"/>
  <c r="G26" i="100" s="1"/>
  <c r="F25" i="100"/>
  <c r="G25" i="100" s="1"/>
  <c r="G21" i="100"/>
  <c r="G20" i="100"/>
  <c r="G19" i="100"/>
  <c r="G18" i="100"/>
  <c r="G17" i="100"/>
  <c r="G16" i="100"/>
  <c r="G15" i="100"/>
  <c r="G14" i="100"/>
  <c r="G13" i="100"/>
  <c r="G12" i="100"/>
  <c r="E139" i="98"/>
  <c r="F40" i="97" s="1"/>
  <c r="G138" i="98"/>
  <c r="F32" i="96" s="1"/>
  <c r="E138" i="98"/>
  <c r="F39" i="97" s="1"/>
  <c r="G137" i="98"/>
  <c r="F31" i="96" s="1"/>
  <c r="L31" i="96" s="1" a="1"/>
  <c r="L31" i="96" s="1"/>
  <c r="E137" i="98"/>
  <c r="F38" i="97" s="1"/>
  <c r="D137" i="98"/>
  <c r="F31" i="97" s="1"/>
  <c r="G136" i="98"/>
  <c r="F30" i="96" s="1"/>
  <c r="M30" i="96" s="1" a="1"/>
  <c r="M30" i="96" s="1"/>
  <c r="E136" i="98"/>
  <c r="F37" i="97" s="1"/>
  <c r="D136" i="98"/>
  <c r="F30" i="97" s="1"/>
  <c r="G135" i="98"/>
  <c r="F29" i="96" s="1"/>
  <c r="E135" i="98"/>
  <c r="F36" i="97" s="1"/>
  <c r="D135" i="98"/>
  <c r="F29" i="97" s="1"/>
  <c r="G134" i="98"/>
  <c r="F28" i="96" s="1"/>
  <c r="E134" i="98"/>
  <c r="F35" i="97" s="1"/>
  <c r="D134" i="98"/>
  <c r="F28" i="97" s="1"/>
  <c r="M28" i="97" s="1" a="1"/>
  <c r="M28" i="97" s="1"/>
  <c r="G133" i="98"/>
  <c r="F27" i="96" s="1"/>
  <c r="M27" i="96" s="1" a="1"/>
  <c r="M27" i="96" s="1"/>
  <c r="F133" i="98"/>
  <c r="F36" i="96" s="1"/>
  <c r="E133" i="98"/>
  <c r="F34" i="97" s="1"/>
  <c r="D133" i="98"/>
  <c r="F27" i="97" s="1"/>
  <c r="M27" i="97" s="1" a="1"/>
  <c r="M27" i="97" s="1"/>
  <c r="I132" i="98"/>
  <c r="F38" i="96" s="1"/>
  <c r="G132" i="98"/>
  <c r="F26" i="96" s="1"/>
  <c r="F132" i="98"/>
  <c r="F35" i="96" s="1"/>
  <c r="E132" i="98"/>
  <c r="F33" i="97" s="1"/>
  <c r="D132" i="98"/>
  <c r="F26" i="97" s="1"/>
  <c r="I131" i="98"/>
  <c r="F37" i="96" s="1"/>
  <c r="H131" i="98"/>
  <c r="F33" i="96" s="1"/>
  <c r="G131" i="98"/>
  <c r="F25" i="96" s="1"/>
  <c r="F131" i="98"/>
  <c r="F34" i="96" s="1"/>
  <c r="E131" i="98"/>
  <c r="F32" i="97" s="1"/>
  <c r="D131" i="98"/>
  <c r="F25" i="97" s="1"/>
  <c r="F120" i="98" a="1"/>
  <c r="F120" i="98" s="1"/>
  <c r="E120" i="98" a="1"/>
  <c r="E120" i="98" s="1"/>
  <c r="D120" i="98" a="1"/>
  <c r="D120" i="98" s="1"/>
  <c r="F119" i="98" a="1"/>
  <c r="F119" i="98" s="1"/>
  <c r="E119" i="98" a="1"/>
  <c r="E119" i="98" s="1"/>
  <c r="D119" i="98" a="1"/>
  <c r="D119" i="98" s="1"/>
  <c r="F118" i="98" a="1"/>
  <c r="F118" i="98" s="1"/>
  <c r="E118" i="98" a="1"/>
  <c r="E118" i="98" s="1"/>
  <c r="D118" i="98" a="1"/>
  <c r="D118" i="98" s="1"/>
  <c r="F117" i="98" a="1"/>
  <c r="F117" i="98" s="1"/>
  <c r="E117" i="98" a="1"/>
  <c r="E117" i="98" s="1"/>
  <c r="D117" i="98" a="1"/>
  <c r="D117" i="98" s="1"/>
  <c r="F116" i="98" a="1"/>
  <c r="F116" i="98" s="1"/>
  <c r="E116" i="98" a="1"/>
  <c r="E116" i="98" s="1"/>
  <c r="D116" i="98" a="1"/>
  <c r="D116" i="98" s="1"/>
  <c r="F115" i="98" a="1"/>
  <c r="F115" i="98" s="1"/>
  <c r="E115" i="98" a="1"/>
  <c r="E115" i="98" s="1"/>
  <c r="D115" i="98" a="1"/>
  <c r="D115" i="98" s="1"/>
  <c r="F114" i="98" a="1"/>
  <c r="F114" i="98" s="1"/>
  <c r="E114" i="98" a="1"/>
  <c r="E114" i="98" s="1"/>
  <c r="D114" i="98" a="1"/>
  <c r="D114" i="98" s="1"/>
  <c r="G113" i="98" a="1"/>
  <c r="G113" i="98" s="1"/>
  <c r="F113" i="98" a="1"/>
  <c r="F113" i="98" s="1"/>
  <c r="E113" i="98" a="1"/>
  <c r="E113" i="98" s="1"/>
  <c r="D113" i="98" a="1"/>
  <c r="D113" i="98" s="1"/>
  <c r="D110" i="98" a="1"/>
  <c r="D110" i="98" s="1"/>
  <c r="D109" i="98" a="1"/>
  <c r="D109" i="98" s="1"/>
  <c r="D108" i="98" a="1"/>
  <c r="D108" i="98" s="1"/>
  <c r="D107" i="98" a="1"/>
  <c r="D107" i="98" s="1"/>
  <c r="J104" i="98" a="1"/>
  <c r="J104" i="98" s="1"/>
  <c r="I104" i="98" a="1"/>
  <c r="I104" i="98" s="1"/>
  <c r="H104" i="98" a="1"/>
  <c r="H104" i="98" s="1"/>
  <c r="G104" i="98" a="1"/>
  <c r="G104" i="98" s="1"/>
  <c r="F104" i="98" a="1"/>
  <c r="F104" i="98" s="1"/>
  <c r="E104" i="98" a="1"/>
  <c r="E104" i="98" s="1"/>
  <c r="D104" i="98" a="1"/>
  <c r="D104" i="98" s="1"/>
  <c r="E40" i="97" s="1"/>
  <c r="J103" i="98" a="1"/>
  <c r="J103" i="98" s="1"/>
  <c r="I103" i="98" a="1"/>
  <c r="I103" i="98" s="1"/>
  <c r="H103" i="98" a="1"/>
  <c r="H103" i="98" s="1"/>
  <c r="G103" i="98" a="1"/>
  <c r="G103" i="98" s="1"/>
  <c r="F103" i="98" a="1"/>
  <c r="F103" i="98" s="1"/>
  <c r="E103" i="98" a="1"/>
  <c r="E103" i="98" s="1"/>
  <c r="D103" i="98" a="1"/>
  <c r="D103" i="98" s="1"/>
  <c r="E39" i="97" s="1"/>
  <c r="J102" i="98" a="1"/>
  <c r="J102" i="98" s="1"/>
  <c r="I102" i="98" a="1"/>
  <c r="I102" i="98" s="1"/>
  <c r="H102" i="98" a="1"/>
  <c r="H102" i="98" s="1"/>
  <c r="G102" i="98" a="1"/>
  <c r="G102" i="98" s="1"/>
  <c r="F102" i="98" a="1"/>
  <c r="F102" i="98" s="1"/>
  <c r="E102" i="98" a="1"/>
  <c r="E102" i="98" s="1"/>
  <c r="D102" i="98" a="1"/>
  <c r="D102" i="98" s="1"/>
  <c r="J101" i="98" a="1"/>
  <c r="J101" i="98" s="1"/>
  <c r="I101" i="98" a="1"/>
  <c r="I101" i="98" s="1"/>
  <c r="H101" i="98" a="1"/>
  <c r="H101" i="98" s="1"/>
  <c r="G101" i="98" a="1"/>
  <c r="G101" i="98" s="1"/>
  <c r="F101" i="98" a="1"/>
  <c r="F101" i="98" s="1"/>
  <c r="E101" i="98" a="1"/>
  <c r="E101" i="98" s="1"/>
  <c r="D101" i="98" a="1"/>
  <c r="D101" i="98" s="1"/>
  <c r="J100" i="98" a="1"/>
  <c r="J100" i="98" s="1"/>
  <c r="I100" i="98" a="1"/>
  <c r="I100" i="98" s="1"/>
  <c r="H100" i="98" a="1"/>
  <c r="H100" i="98" s="1"/>
  <c r="G100" i="98" a="1"/>
  <c r="G100" i="98" s="1"/>
  <c r="F100" i="98" a="1"/>
  <c r="F100" i="98" s="1"/>
  <c r="E100" i="98" a="1"/>
  <c r="E100" i="98" s="1"/>
  <c r="D100" i="98" a="1"/>
  <c r="D100" i="98" s="1"/>
  <c r="J99" i="98" a="1"/>
  <c r="J99" i="98" s="1"/>
  <c r="I99" i="98" a="1"/>
  <c r="I99" i="98" s="1"/>
  <c r="H99" i="98" a="1"/>
  <c r="H99" i="98" s="1"/>
  <c r="G99" i="98" a="1"/>
  <c r="G99" i="98" s="1"/>
  <c r="F99" i="98" a="1"/>
  <c r="F99" i="98" s="1"/>
  <c r="E99" i="98" a="1"/>
  <c r="E99" i="98" s="1"/>
  <c r="D99" i="98" a="1"/>
  <c r="D99" i="98" s="1"/>
  <c r="J98" i="98" a="1"/>
  <c r="J98" i="98" s="1"/>
  <c r="I98" i="98" a="1"/>
  <c r="I98" i="98" s="1"/>
  <c r="H98" i="98" a="1"/>
  <c r="H98" i="98" s="1"/>
  <c r="G98" i="98" a="1"/>
  <c r="G98" i="98" s="1"/>
  <c r="F98" i="98" a="1"/>
  <c r="F98" i="98" s="1"/>
  <c r="E98" i="98" a="1"/>
  <c r="E98" i="98" s="1"/>
  <c r="D98" i="98" a="1"/>
  <c r="D98" i="98" s="1"/>
  <c r="J97" i="98" a="1"/>
  <c r="J97" i="98" s="1"/>
  <c r="I97" i="98" a="1"/>
  <c r="I97" i="98" s="1"/>
  <c r="H97" i="98" a="1"/>
  <c r="H97" i="98" s="1"/>
  <c r="G97" i="98" a="1"/>
  <c r="G97" i="98" s="1"/>
  <c r="F97" i="98" a="1"/>
  <c r="F97" i="98" s="1"/>
  <c r="E97" i="98" a="1"/>
  <c r="E97" i="98" s="1"/>
  <c r="D97" i="98" a="1"/>
  <c r="D97" i="98" s="1"/>
  <c r="J96" i="98" a="1"/>
  <c r="J96" i="98" s="1"/>
  <c r="I96" i="98" a="1"/>
  <c r="I96" i="98" s="1"/>
  <c r="H96" i="98" a="1"/>
  <c r="H96" i="98" s="1"/>
  <c r="G96" i="98" a="1"/>
  <c r="G96" i="98" s="1"/>
  <c r="F96" i="98" a="1"/>
  <c r="F96" i="98" s="1"/>
  <c r="E96" i="98" a="1"/>
  <c r="E96" i="98" s="1"/>
  <c r="D96" i="98" a="1"/>
  <c r="D96" i="98" s="1"/>
  <c r="J95" i="98" a="1"/>
  <c r="J95" i="98" s="1"/>
  <c r="I95" i="98" a="1"/>
  <c r="I95" i="98" s="1"/>
  <c r="H95" i="98" a="1"/>
  <c r="H95" i="98" s="1"/>
  <c r="G95" i="98" a="1"/>
  <c r="G95" i="98" s="1"/>
  <c r="F95" i="98" a="1"/>
  <c r="F95" i="98" s="1"/>
  <c r="E95" i="98" a="1"/>
  <c r="E95" i="98" s="1"/>
  <c r="D95" i="98" a="1"/>
  <c r="D95" i="98" s="1"/>
  <c r="J94" i="98" a="1"/>
  <c r="J94" i="98" s="1"/>
  <c r="I94" i="98" a="1"/>
  <c r="I94" i="98" s="1"/>
  <c r="H94" i="98" a="1"/>
  <c r="H94" i="98" s="1"/>
  <c r="G94" i="98" a="1"/>
  <c r="G94" i="98" s="1"/>
  <c r="F94" i="98" a="1"/>
  <c r="F94" i="98" s="1"/>
  <c r="E94" i="98" a="1"/>
  <c r="E94" i="98" s="1"/>
  <c r="D94" i="98" a="1"/>
  <c r="D94" i="98" s="1"/>
  <c r="J93" i="98" a="1"/>
  <c r="J93" i="98" s="1"/>
  <c r="I93" i="98" a="1"/>
  <c r="I93" i="98" s="1"/>
  <c r="H93" i="98" a="1"/>
  <c r="H93" i="98" s="1"/>
  <c r="G93" i="98" a="1"/>
  <c r="G93" i="98" s="1"/>
  <c r="F93" i="98" a="1"/>
  <c r="F93" i="98" s="1"/>
  <c r="E93" i="98" a="1"/>
  <c r="E93" i="98" s="1"/>
  <c r="D93" i="98" a="1"/>
  <c r="D93" i="98" s="1"/>
  <c r="J92" i="98" a="1"/>
  <c r="J92" i="98" s="1"/>
  <c r="I92" i="98" a="1"/>
  <c r="I92" i="98" s="1"/>
  <c r="H92" i="98" a="1"/>
  <c r="H92" i="98" s="1"/>
  <c r="G92" i="98" a="1"/>
  <c r="G92" i="98" s="1"/>
  <c r="F92" i="98" a="1"/>
  <c r="F92" i="98" s="1"/>
  <c r="E92" i="98" a="1"/>
  <c r="E92" i="98" s="1"/>
  <c r="D92" i="98" a="1"/>
  <c r="D92" i="98" s="1"/>
  <c r="J91" i="98" a="1"/>
  <c r="J91" i="98" s="1"/>
  <c r="I91" i="98" a="1"/>
  <c r="I91" i="98" s="1"/>
  <c r="H91" i="98" a="1"/>
  <c r="H91" i="98" s="1"/>
  <c r="G91" i="98" a="1"/>
  <c r="G91" i="98" s="1"/>
  <c r="F91" i="98" a="1"/>
  <c r="F91" i="98" s="1"/>
  <c r="E91" i="98" a="1"/>
  <c r="E91" i="98" s="1"/>
  <c r="D91" i="98" a="1"/>
  <c r="D91" i="98" s="1"/>
  <c r="J90" i="98" a="1"/>
  <c r="J90" i="98" s="1"/>
  <c r="I90" i="98" a="1"/>
  <c r="I90" i="98" s="1"/>
  <c r="H90" i="98" a="1"/>
  <c r="H90" i="98" s="1"/>
  <c r="G90" i="98" a="1"/>
  <c r="G90" i="98" s="1"/>
  <c r="F90" i="98" a="1"/>
  <c r="F90" i="98" s="1"/>
  <c r="E90" i="98" a="1"/>
  <c r="E90" i="98" s="1"/>
  <c r="D90" i="98" a="1"/>
  <c r="D90" i="98" s="1"/>
  <c r="J89" i="98" a="1"/>
  <c r="J89" i="98" s="1"/>
  <c r="I89" i="98" a="1"/>
  <c r="I89" i="98" s="1"/>
  <c r="H89" i="98" a="1"/>
  <c r="H89" i="98" s="1"/>
  <c r="G89" i="98" a="1"/>
  <c r="G89" i="98" s="1"/>
  <c r="F89" i="98" a="1"/>
  <c r="F89" i="98" s="1"/>
  <c r="E89" i="98" a="1"/>
  <c r="E89" i="98" s="1"/>
  <c r="D89" i="98" a="1"/>
  <c r="D89" i="98" s="1"/>
  <c r="J88" i="98" a="1"/>
  <c r="J88" i="98" s="1"/>
  <c r="I88" i="98" a="1"/>
  <c r="I88" i="98" s="1"/>
  <c r="H88" i="98" a="1"/>
  <c r="H88" i="98" s="1"/>
  <c r="G88" i="98" a="1"/>
  <c r="G88" i="98" s="1"/>
  <c r="F88" i="98" a="1"/>
  <c r="F88" i="98" s="1"/>
  <c r="E88" i="98" a="1"/>
  <c r="E88" i="98" s="1"/>
  <c r="D88" i="98" a="1"/>
  <c r="D88" i="98" s="1"/>
  <c r="J87" i="98" a="1"/>
  <c r="J87" i="98" s="1"/>
  <c r="I87" i="98" a="1"/>
  <c r="I87" i="98" s="1"/>
  <c r="H87" i="98" a="1"/>
  <c r="H87" i="98" s="1"/>
  <c r="G87" i="98" a="1"/>
  <c r="G87" i="98" s="1"/>
  <c r="F87" i="98" a="1"/>
  <c r="F87" i="98" s="1"/>
  <c r="E87" i="98" a="1"/>
  <c r="E87" i="98" s="1"/>
  <c r="D87" i="98" a="1"/>
  <c r="D87" i="98" s="1"/>
  <c r="D84" i="98" a="1"/>
  <c r="D84" i="98" s="1"/>
  <c r="D83" i="98" a="1"/>
  <c r="D83" i="98" s="1"/>
  <c r="D82" i="98" a="1"/>
  <c r="D82" i="98" s="1"/>
  <c r="D81" i="98" a="1"/>
  <c r="D81" i="98" s="1"/>
  <c r="K77" i="98" a="1"/>
  <c r="K77" i="98" s="1"/>
  <c r="J77" i="98" a="1"/>
  <c r="J77" i="98" s="1"/>
  <c r="I77" i="98" a="1"/>
  <c r="I77" i="98" s="1"/>
  <c r="H77" i="98" a="1"/>
  <c r="H77" i="98" s="1"/>
  <c r="G77" i="98" a="1"/>
  <c r="G77" i="98" s="1"/>
  <c r="F77" i="98" a="1"/>
  <c r="F77" i="98" s="1"/>
  <c r="E77" i="98" a="1"/>
  <c r="E77" i="98" s="1"/>
  <c r="D77" i="98" a="1"/>
  <c r="D77" i="98" s="1"/>
  <c r="E38" i="97" s="1"/>
  <c r="K38" i="97" s="1"/>
  <c r="K76" i="98" a="1"/>
  <c r="K76" i="98" s="1"/>
  <c r="J76" i="98" a="1"/>
  <c r="J76" i="98" s="1"/>
  <c r="I76" i="98" a="1"/>
  <c r="I76" i="98" s="1"/>
  <c r="H76" i="98" a="1"/>
  <c r="H76" i="98" s="1"/>
  <c r="G76" i="98" a="1"/>
  <c r="G76" i="98" s="1"/>
  <c r="F76" i="98" a="1"/>
  <c r="F76" i="98" s="1"/>
  <c r="E76" i="98" a="1"/>
  <c r="E76" i="98" s="1"/>
  <c r="D76" i="98" a="1"/>
  <c r="D76" i="98" s="1"/>
  <c r="K75" i="98" a="1"/>
  <c r="K75" i="98" s="1"/>
  <c r="J75" i="98" a="1"/>
  <c r="J75" i="98" s="1"/>
  <c r="I75" i="98" a="1"/>
  <c r="I75" i="98" s="1"/>
  <c r="H75" i="98" a="1"/>
  <c r="H75" i="98" s="1"/>
  <c r="G75" i="98" a="1"/>
  <c r="G75" i="98" s="1"/>
  <c r="F75" i="98" a="1"/>
  <c r="F75" i="98" s="1"/>
  <c r="E75" i="98" a="1"/>
  <c r="E75" i="98" s="1"/>
  <c r="D75" i="98" a="1"/>
  <c r="D75" i="98" s="1"/>
  <c r="E37" i="97" s="1"/>
  <c r="K37" i="97" s="1"/>
  <c r="K74" i="98" a="1"/>
  <c r="K74" i="98" s="1"/>
  <c r="J74" i="98" a="1"/>
  <c r="J74" i="98" s="1"/>
  <c r="I74" i="98" a="1"/>
  <c r="I74" i="98" s="1"/>
  <c r="H74" i="98" a="1"/>
  <c r="H74" i="98" s="1"/>
  <c r="G74" i="98" a="1"/>
  <c r="G74" i="98" s="1"/>
  <c r="F74" i="98" a="1"/>
  <c r="F74" i="98" s="1"/>
  <c r="E74" i="98" a="1"/>
  <c r="E74" i="98" s="1"/>
  <c r="D74" i="98" a="1"/>
  <c r="D74" i="98" s="1"/>
  <c r="E29" i="97" s="1"/>
  <c r="K73" i="98" a="1"/>
  <c r="K73" i="98" s="1"/>
  <c r="J73" i="98" a="1"/>
  <c r="J73" i="98" s="1"/>
  <c r="I73" i="98" a="1"/>
  <c r="I73" i="98" s="1"/>
  <c r="H73" i="98" a="1"/>
  <c r="H73" i="98" s="1"/>
  <c r="G73" i="98" a="1"/>
  <c r="G73" i="98" s="1"/>
  <c r="F73" i="98" a="1"/>
  <c r="F73" i="98" s="1"/>
  <c r="E73" i="98" a="1"/>
  <c r="E73" i="98" s="1"/>
  <c r="D73" i="98" a="1"/>
  <c r="D73" i="98" s="1"/>
  <c r="E28" i="97" s="1"/>
  <c r="I28" i="97" s="1"/>
  <c r="K72" i="98" a="1"/>
  <c r="K72" i="98" s="1"/>
  <c r="J72" i="98" a="1"/>
  <c r="J72" i="98" s="1"/>
  <c r="I72" i="98" a="1"/>
  <c r="I72" i="98" s="1"/>
  <c r="H72" i="98" a="1"/>
  <c r="H72" i="98" s="1"/>
  <c r="G72" i="98" a="1"/>
  <c r="G72" i="98" s="1"/>
  <c r="F72" i="98" a="1"/>
  <c r="F72" i="98" s="1"/>
  <c r="E72" i="98" a="1"/>
  <c r="E72" i="98" s="1"/>
  <c r="D72" i="98" a="1"/>
  <c r="D72" i="98" s="1"/>
  <c r="K71" i="98" a="1"/>
  <c r="K71" i="98" s="1"/>
  <c r="J71" i="98" a="1"/>
  <c r="J71" i="98" s="1"/>
  <c r="I71" i="98" a="1"/>
  <c r="I71" i="98" s="1"/>
  <c r="H71" i="98" a="1"/>
  <c r="H71" i="98" s="1"/>
  <c r="G71" i="98" a="1"/>
  <c r="G71" i="98" s="1"/>
  <c r="F71" i="98" a="1"/>
  <c r="F71" i="98" s="1"/>
  <c r="E71" i="98" a="1"/>
  <c r="E71" i="98" s="1"/>
  <c r="D71" i="98" a="1"/>
  <c r="D71" i="98" s="1"/>
  <c r="K70" i="98" a="1"/>
  <c r="K70" i="98" s="1"/>
  <c r="J70" i="98" a="1"/>
  <c r="J70" i="98" s="1"/>
  <c r="I70" i="98" a="1"/>
  <c r="I70" i="98" s="1"/>
  <c r="H70" i="98" a="1"/>
  <c r="H70" i="98" s="1"/>
  <c r="G70" i="98" a="1"/>
  <c r="G70" i="98" s="1"/>
  <c r="F70" i="98" a="1"/>
  <c r="F70" i="98" s="1"/>
  <c r="E70" i="98" a="1"/>
  <c r="E70" i="98" s="1"/>
  <c r="D70" i="98" a="1"/>
  <c r="D70" i="98" s="1"/>
  <c r="K69" i="98" a="1"/>
  <c r="K69" i="98" s="1"/>
  <c r="J69" i="98" a="1"/>
  <c r="J69" i="98" s="1"/>
  <c r="I69" i="98" a="1"/>
  <c r="I69" i="98" s="1"/>
  <c r="H69" i="98" a="1"/>
  <c r="H69" i="98" s="1"/>
  <c r="G69" i="98" a="1"/>
  <c r="G69" i="98" s="1"/>
  <c r="F69" i="98" a="1"/>
  <c r="F69" i="98" s="1"/>
  <c r="E69" i="98" a="1"/>
  <c r="E69" i="98" s="1"/>
  <c r="D69" i="98" a="1"/>
  <c r="D69" i="98" s="1"/>
  <c r="K68" i="98" a="1"/>
  <c r="K68" i="98" s="1"/>
  <c r="J68" i="98" a="1"/>
  <c r="J68" i="98" s="1"/>
  <c r="I68" i="98" a="1"/>
  <c r="I68" i="98" s="1"/>
  <c r="H68" i="98" a="1"/>
  <c r="H68" i="98" s="1"/>
  <c r="G68" i="98" a="1"/>
  <c r="G68" i="98" s="1"/>
  <c r="F68" i="98" a="1"/>
  <c r="F68" i="98" s="1"/>
  <c r="E68" i="98" a="1"/>
  <c r="E68" i="98" s="1"/>
  <c r="D68" i="98" a="1"/>
  <c r="D68" i="98" s="1"/>
  <c r="K67" i="98" a="1"/>
  <c r="K67" i="98" s="1"/>
  <c r="J67" i="98" a="1"/>
  <c r="J67" i="98" s="1"/>
  <c r="I67" i="98" a="1"/>
  <c r="I67" i="98" s="1"/>
  <c r="H67" i="98" a="1"/>
  <c r="H67" i="98" s="1"/>
  <c r="G67" i="98" a="1"/>
  <c r="G67" i="98" s="1"/>
  <c r="F67" i="98" a="1"/>
  <c r="F67" i="98" s="1"/>
  <c r="E67" i="98" a="1"/>
  <c r="E67" i="98" s="1"/>
  <c r="D67" i="98" a="1"/>
  <c r="D67" i="98" s="1"/>
  <c r="E27" i="97" s="1"/>
  <c r="K66" i="98" a="1"/>
  <c r="K66" i="98" s="1"/>
  <c r="J66" i="98" a="1"/>
  <c r="J66" i="98" s="1"/>
  <c r="I66" i="98" a="1"/>
  <c r="I66" i="98" s="1"/>
  <c r="H66" i="98" a="1"/>
  <c r="H66" i="98" s="1"/>
  <c r="G66" i="98" a="1"/>
  <c r="G66" i="98" s="1"/>
  <c r="F66" i="98" a="1"/>
  <c r="F66" i="98" s="1"/>
  <c r="E66" i="98" a="1"/>
  <c r="E66" i="98" s="1"/>
  <c r="D66" i="98" a="1"/>
  <c r="D66" i="98" s="1"/>
  <c r="K65" i="98" a="1"/>
  <c r="K65" i="98" s="1"/>
  <c r="J65" i="98" a="1"/>
  <c r="J65" i="98" s="1"/>
  <c r="I65" i="98" a="1"/>
  <c r="I65" i="98" s="1"/>
  <c r="H65" i="98" a="1"/>
  <c r="H65" i="98" s="1"/>
  <c r="G65" i="98" a="1"/>
  <c r="G65" i="98" s="1"/>
  <c r="F65" i="98" a="1"/>
  <c r="F65" i="98" s="1"/>
  <c r="E65" i="98" a="1"/>
  <c r="E65" i="98" s="1"/>
  <c r="D65" i="98" a="1"/>
  <c r="D65" i="98" s="1"/>
  <c r="K64" i="98" a="1"/>
  <c r="K64" i="98" s="1"/>
  <c r="J64" i="98" a="1"/>
  <c r="J64" i="98" s="1"/>
  <c r="I64" i="98" a="1"/>
  <c r="I64" i="98" s="1"/>
  <c r="H64" i="98" a="1"/>
  <c r="H64" i="98" s="1"/>
  <c r="G64" i="98" a="1"/>
  <c r="G64" i="98" s="1"/>
  <c r="F64" i="98" a="1"/>
  <c r="F64" i="98" s="1"/>
  <c r="E64" i="98" a="1"/>
  <c r="E64" i="98" s="1"/>
  <c r="D64" i="98" a="1"/>
  <c r="D64" i="98" s="1"/>
  <c r="K63" i="98" a="1"/>
  <c r="K63" i="98" s="1"/>
  <c r="J63" i="98" a="1"/>
  <c r="J63" i="98" s="1"/>
  <c r="I63" i="98" a="1"/>
  <c r="I63" i="98" s="1"/>
  <c r="H63" i="98" a="1"/>
  <c r="H63" i="98" s="1"/>
  <c r="G63" i="98" a="1"/>
  <c r="G63" i="98" s="1"/>
  <c r="F63" i="98" a="1"/>
  <c r="F63" i="98" s="1"/>
  <c r="E63" i="98" a="1"/>
  <c r="E63" i="98" s="1"/>
  <c r="D63" i="98" a="1"/>
  <c r="D63" i="98" s="1"/>
  <c r="E26" i="97" s="1"/>
  <c r="K62" i="98" a="1"/>
  <c r="K62" i="98" s="1"/>
  <c r="J62" i="98" a="1"/>
  <c r="J62" i="98" s="1"/>
  <c r="I62" i="98" a="1"/>
  <c r="I62" i="98" s="1"/>
  <c r="H62" i="98" a="1"/>
  <c r="H62" i="98" s="1"/>
  <c r="G62" i="98" a="1"/>
  <c r="G62" i="98" s="1"/>
  <c r="F62" i="98" a="1"/>
  <c r="F62" i="98" s="1"/>
  <c r="E62" i="98" a="1"/>
  <c r="E62" i="98" s="1"/>
  <c r="D62" i="98" a="1"/>
  <c r="D62" i="98" s="1"/>
  <c r="K61" i="98" a="1"/>
  <c r="K61" i="98" s="1"/>
  <c r="J61" i="98" a="1"/>
  <c r="J61" i="98" s="1"/>
  <c r="I61" i="98" a="1"/>
  <c r="I61" i="98" s="1"/>
  <c r="H61" i="98" a="1"/>
  <c r="H61" i="98" s="1"/>
  <c r="G61" i="98" a="1"/>
  <c r="G61" i="98" s="1"/>
  <c r="F61" i="98" a="1"/>
  <c r="F61" i="98" s="1"/>
  <c r="E61" i="98" a="1"/>
  <c r="E61" i="98" s="1"/>
  <c r="D61" i="98" a="1"/>
  <c r="D61" i="98" s="1"/>
  <c r="K60" i="98" a="1"/>
  <c r="K60" i="98" s="1"/>
  <c r="J60" i="98" a="1"/>
  <c r="J60" i="98" s="1"/>
  <c r="I60" i="98" a="1"/>
  <c r="I60" i="98" s="1"/>
  <c r="H60" i="98" a="1"/>
  <c r="H60" i="98" s="1"/>
  <c r="G60" i="98" a="1"/>
  <c r="G60" i="98" s="1"/>
  <c r="F60" i="98" a="1"/>
  <c r="F60" i="98" s="1"/>
  <c r="E60" i="98" a="1"/>
  <c r="E60" i="98" s="1"/>
  <c r="D60" i="98" a="1"/>
  <c r="D60" i="98" s="1"/>
  <c r="K59" i="98" a="1"/>
  <c r="K59" i="98" s="1"/>
  <c r="J59" i="98" a="1"/>
  <c r="J59" i="98" s="1"/>
  <c r="I59" i="98" a="1"/>
  <c r="I59" i="98" s="1"/>
  <c r="H59" i="98" a="1"/>
  <c r="H59" i="98" s="1"/>
  <c r="G59" i="98" a="1"/>
  <c r="G59" i="98" s="1"/>
  <c r="F59" i="98" a="1"/>
  <c r="F59" i="98" s="1"/>
  <c r="E59" i="98" a="1"/>
  <c r="E59" i="98" s="1"/>
  <c r="D59" i="98" a="1"/>
  <c r="D59" i="98" s="1"/>
  <c r="K58" i="98" a="1"/>
  <c r="K58" i="98" s="1"/>
  <c r="J58" i="98" a="1"/>
  <c r="J58" i="98" s="1"/>
  <c r="I58" i="98" a="1"/>
  <c r="I58" i="98" s="1"/>
  <c r="H58" i="98" a="1"/>
  <c r="H58" i="98" s="1"/>
  <c r="G58" i="98" a="1"/>
  <c r="G58" i="98" s="1"/>
  <c r="F58" i="98" a="1"/>
  <c r="F58" i="98" s="1"/>
  <c r="E58" i="98" a="1"/>
  <c r="E58" i="98" s="1"/>
  <c r="D58" i="98" a="1"/>
  <c r="D58" i="98" s="1"/>
  <c r="E25" i="97" s="1"/>
  <c r="K57" i="98" a="1"/>
  <c r="K57" i="98" s="1"/>
  <c r="J57" i="98" a="1"/>
  <c r="J57" i="98" s="1"/>
  <c r="I57" i="98" a="1"/>
  <c r="I57" i="98" s="1"/>
  <c r="H57" i="98" a="1"/>
  <c r="H57" i="98" s="1"/>
  <c r="G57" i="98" a="1"/>
  <c r="G57" i="98" s="1"/>
  <c r="F57" i="98" a="1"/>
  <c r="F57" i="98" s="1"/>
  <c r="E57" i="98" a="1"/>
  <c r="E57" i="98" s="1"/>
  <c r="D57" i="98" a="1"/>
  <c r="D57" i="98" s="1"/>
  <c r="K56" i="98" a="1"/>
  <c r="K56" i="98" s="1"/>
  <c r="J56" i="98" a="1"/>
  <c r="J56" i="98" s="1"/>
  <c r="I56" i="98" a="1"/>
  <c r="I56" i="98" s="1"/>
  <c r="H56" i="98" a="1"/>
  <c r="H56" i="98" s="1"/>
  <c r="G56" i="98" a="1"/>
  <c r="G56" i="98" s="1"/>
  <c r="F56" i="98" a="1"/>
  <c r="F56" i="98" s="1"/>
  <c r="E56" i="98" a="1"/>
  <c r="E56" i="98" s="1"/>
  <c r="D56" i="98" a="1"/>
  <c r="D56" i="98" s="1"/>
  <c r="K55" i="98" a="1"/>
  <c r="K55" i="98" s="1"/>
  <c r="J55" i="98" a="1"/>
  <c r="J55" i="98" s="1"/>
  <c r="I55" i="98" a="1"/>
  <c r="I55" i="98" s="1"/>
  <c r="H55" i="98" a="1"/>
  <c r="H55" i="98" s="1"/>
  <c r="G55" i="98" a="1"/>
  <c r="G55" i="98" s="1"/>
  <c r="F55" i="98" a="1"/>
  <c r="F55" i="98" s="1"/>
  <c r="E55" i="98" a="1"/>
  <c r="E55" i="98" s="1"/>
  <c r="D55" i="98" a="1"/>
  <c r="D55" i="98" s="1"/>
  <c r="K54" i="98" a="1"/>
  <c r="K54" i="98" s="1"/>
  <c r="J54" i="98" a="1"/>
  <c r="J54" i="98" s="1"/>
  <c r="I54" i="98" a="1"/>
  <c r="I54" i="98" s="1"/>
  <c r="H54" i="98" a="1"/>
  <c r="H54" i="98" s="1"/>
  <c r="G54" i="98" a="1"/>
  <c r="G54" i="98" s="1"/>
  <c r="F54" i="98" a="1"/>
  <c r="F54" i="98" s="1"/>
  <c r="E54" i="98" a="1"/>
  <c r="E54" i="98" s="1"/>
  <c r="D54" i="98" a="1"/>
  <c r="D54" i="98" s="1"/>
  <c r="D52" i="98" a="1"/>
  <c r="D52" i="98" s="1"/>
  <c r="D51" i="98" a="1"/>
  <c r="D51" i="98" s="1"/>
  <c r="D50" i="98" a="1"/>
  <c r="D50" i="98" s="1"/>
  <c r="D49" i="98" a="1"/>
  <c r="D49" i="98" s="1"/>
  <c r="J43" i="98" a="1"/>
  <c r="J43" i="98" s="1"/>
  <c r="I43" i="98" a="1"/>
  <c r="I43" i="98" s="1"/>
  <c r="H43" i="98" a="1"/>
  <c r="H43" i="98" s="1"/>
  <c r="G43" i="98" a="1"/>
  <c r="G43" i="98" s="1"/>
  <c r="F43" i="98" a="1"/>
  <c r="F43" i="98" s="1"/>
  <c r="E43" i="98" a="1"/>
  <c r="E43" i="98" s="1"/>
  <c r="D43" i="98" a="1"/>
  <c r="D43" i="98" s="1"/>
  <c r="J42" i="98" a="1"/>
  <c r="J42" i="98" s="1"/>
  <c r="I42" i="98" a="1"/>
  <c r="I42" i="98" s="1"/>
  <c r="H42" i="98" a="1"/>
  <c r="H42" i="98" s="1"/>
  <c r="G42" i="98" a="1"/>
  <c r="G42" i="98" s="1"/>
  <c r="F42" i="98" a="1"/>
  <c r="F42" i="98" s="1"/>
  <c r="E42" i="98" a="1"/>
  <c r="E42" i="98" s="1"/>
  <c r="D42" i="98" a="1"/>
  <c r="D42" i="98" s="1"/>
  <c r="J41" i="98" a="1"/>
  <c r="J41" i="98" s="1"/>
  <c r="I41" i="98" a="1"/>
  <c r="I41" i="98" s="1"/>
  <c r="H41" i="98" a="1"/>
  <c r="H41" i="98" s="1"/>
  <c r="G41" i="98" a="1"/>
  <c r="G41" i="98" s="1"/>
  <c r="F41" i="98" a="1"/>
  <c r="F41" i="98" s="1"/>
  <c r="E41" i="98" a="1"/>
  <c r="E41" i="98" s="1"/>
  <c r="D41" i="98" a="1"/>
  <c r="D41" i="98" s="1"/>
  <c r="J40" i="98" a="1"/>
  <c r="J40" i="98" s="1"/>
  <c r="I40" i="98" a="1"/>
  <c r="I40" i="98" s="1"/>
  <c r="H40" i="98" a="1"/>
  <c r="H40" i="98" s="1"/>
  <c r="G40" i="98" a="1"/>
  <c r="G40" i="98" s="1"/>
  <c r="F40" i="98" a="1"/>
  <c r="F40" i="98" s="1"/>
  <c r="E40" i="98" a="1"/>
  <c r="E40" i="98" s="1"/>
  <c r="D40" i="98" a="1"/>
  <c r="D40" i="98" s="1"/>
  <c r="D38" i="98" a="1"/>
  <c r="D38" i="98" s="1"/>
  <c r="D37" i="98" a="1"/>
  <c r="D37" i="98" s="1"/>
  <c r="L34" i="98" a="1"/>
  <c r="L34" i="98" s="1"/>
  <c r="K34" i="98" a="1"/>
  <c r="K34" i="98" s="1"/>
  <c r="J34" i="98" a="1"/>
  <c r="J34" i="98" s="1"/>
  <c r="I34" i="98" a="1"/>
  <c r="I34" i="98" s="1"/>
  <c r="H34" i="98" a="1"/>
  <c r="H34" i="98" s="1"/>
  <c r="G34" i="98" a="1"/>
  <c r="G34" i="98" s="1"/>
  <c r="F34" i="98" a="1"/>
  <c r="F34" i="98" s="1"/>
  <c r="E34" i="98" a="1"/>
  <c r="E34" i="98" s="1"/>
  <c r="D34" i="98" a="1"/>
  <c r="D34" i="98" s="1"/>
  <c r="L33" i="98" a="1"/>
  <c r="L33" i="98" s="1"/>
  <c r="K33" i="98" a="1"/>
  <c r="K33" i="98" s="1"/>
  <c r="J33" i="98" a="1"/>
  <c r="J33" i="98" s="1"/>
  <c r="I33" i="98" a="1"/>
  <c r="I33" i="98" s="1"/>
  <c r="H33" i="98" a="1"/>
  <c r="H33" i="98" s="1"/>
  <c r="G33" i="98" a="1"/>
  <c r="G33" i="98" s="1"/>
  <c r="F33" i="98" a="1"/>
  <c r="F33" i="98" s="1"/>
  <c r="E33" i="98" a="1"/>
  <c r="E33" i="98" s="1"/>
  <c r="E39" i="96" s="1"/>
  <c r="D33" i="98" a="1"/>
  <c r="D33" i="98" s="1"/>
  <c r="L32" i="98" a="1"/>
  <c r="L32" i="98" s="1"/>
  <c r="K32" i="98" a="1"/>
  <c r="K32" i="98" s="1"/>
  <c r="J32" i="98" a="1"/>
  <c r="J32" i="98" s="1"/>
  <c r="I32" i="98" a="1"/>
  <c r="I32" i="98" s="1"/>
  <c r="H32" i="98" a="1"/>
  <c r="H32" i="98" s="1"/>
  <c r="G32" i="98" a="1"/>
  <c r="G32" i="98" s="1"/>
  <c r="F32" i="98" a="1"/>
  <c r="F32" i="98" s="1"/>
  <c r="E32" i="98" a="1"/>
  <c r="E32" i="98" s="1"/>
  <c r="D32" i="98" a="1"/>
  <c r="D32" i="98" s="1"/>
  <c r="L31" i="98" a="1"/>
  <c r="L31" i="98" s="1"/>
  <c r="K31" i="98" a="1"/>
  <c r="K31" i="98" s="1"/>
  <c r="J31" i="98" a="1"/>
  <c r="J31" i="98" s="1"/>
  <c r="I31" i="98" a="1"/>
  <c r="I31" i="98" s="1"/>
  <c r="H31" i="98" a="1"/>
  <c r="H31" i="98" s="1"/>
  <c r="G31" i="98" a="1"/>
  <c r="G31" i="98" s="1"/>
  <c r="F31" i="98" a="1"/>
  <c r="F31" i="98" s="1"/>
  <c r="E31" i="98" a="1"/>
  <c r="E31" i="98" s="1"/>
  <c r="D31" i="98" a="1"/>
  <c r="D31" i="98" s="1"/>
  <c r="L30" i="98" a="1"/>
  <c r="L30" i="98" s="1"/>
  <c r="K30" i="98" a="1"/>
  <c r="K30" i="98" s="1"/>
  <c r="J30" i="98" a="1"/>
  <c r="J30" i="98" s="1"/>
  <c r="I30" i="98" a="1"/>
  <c r="I30" i="98" s="1"/>
  <c r="H30" i="98" a="1"/>
  <c r="H30" i="98" s="1"/>
  <c r="G30" i="98" a="1"/>
  <c r="G30" i="98" s="1"/>
  <c r="F30" i="98" a="1"/>
  <c r="F30" i="98" s="1"/>
  <c r="E30" i="98" a="1"/>
  <c r="E30" i="98" s="1"/>
  <c r="E36" i="96" s="1"/>
  <c r="D30" i="98" a="1"/>
  <c r="D30" i="98" s="1"/>
  <c r="L29" i="98" a="1"/>
  <c r="L29" i="98" s="1"/>
  <c r="K29" i="98" a="1"/>
  <c r="K29" i="98" s="1"/>
  <c r="J29" i="98" a="1"/>
  <c r="J29" i="98" s="1"/>
  <c r="I29" i="98" a="1"/>
  <c r="I29" i="98" s="1"/>
  <c r="H29" i="98" a="1"/>
  <c r="H29" i="98" s="1"/>
  <c r="G29" i="98" a="1"/>
  <c r="G29" i="98" s="1"/>
  <c r="F29" i="98" a="1"/>
  <c r="F29" i="98" s="1"/>
  <c r="E29" i="98" a="1"/>
  <c r="E29" i="98" s="1"/>
  <c r="E35" i="96" s="1"/>
  <c r="D29" i="98" a="1"/>
  <c r="D29" i="98" s="1"/>
  <c r="L28" i="98" a="1"/>
  <c r="L28" i="98" s="1"/>
  <c r="K28" i="98" a="1"/>
  <c r="K28" i="98" s="1"/>
  <c r="J28" i="98" a="1"/>
  <c r="J28" i="98" s="1"/>
  <c r="I28" i="98" a="1"/>
  <c r="I28" i="98" s="1"/>
  <c r="H28" i="98" a="1"/>
  <c r="H28" i="98" s="1"/>
  <c r="G28" i="98" a="1"/>
  <c r="G28" i="98" s="1"/>
  <c r="F28" i="98" a="1"/>
  <c r="F28" i="98" s="1"/>
  <c r="E28" i="98" a="1"/>
  <c r="E28" i="98" s="1"/>
  <c r="E34" i="96" s="1"/>
  <c r="D28" i="98" a="1"/>
  <c r="D28" i="98" s="1"/>
  <c r="L27" i="98" a="1"/>
  <c r="L27" i="98" s="1"/>
  <c r="K27" i="98" a="1"/>
  <c r="K27" i="98" s="1"/>
  <c r="J27" i="98" a="1"/>
  <c r="J27" i="98" s="1"/>
  <c r="I27" i="98" a="1"/>
  <c r="I27" i="98" s="1"/>
  <c r="H27" i="98" a="1"/>
  <c r="H27" i="98" s="1"/>
  <c r="G27" i="98" a="1"/>
  <c r="G27" i="98" s="1"/>
  <c r="F27" i="98" a="1"/>
  <c r="F27" i="98" s="1"/>
  <c r="E27" i="98" a="1"/>
  <c r="E27" i="98" s="1"/>
  <c r="D27" i="98" a="1"/>
  <c r="D27" i="98" s="1"/>
  <c r="L26" i="98" a="1"/>
  <c r="L26" i="98" s="1"/>
  <c r="K26" i="98" a="1"/>
  <c r="K26" i="98" s="1"/>
  <c r="J26" i="98" a="1"/>
  <c r="J26" i="98" s="1"/>
  <c r="I26" i="98" a="1"/>
  <c r="I26" i="98" s="1"/>
  <c r="H26" i="98" a="1"/>
  <c r="H26" i="98" s="1"/>
  <c r="G26" i="98" a="1"/>
  <c r="G26" i="98" s="1"/>
  <c r="F26" i="98" a="1"/>
  <c r="F26" i="98" s="1"/>
  <c r="E26" i="98" a="1"/>
  <c r="E26" i="98" s="1"/>
  <c r="D26" i="98" a="1"/>
  <c r="D26" i="98" s="1"/>
  <c r="L25" i="98" a="1"/>
  <c r="L25" i="98" s="1"/>
  <c r="K25" i="98" a="1"/>
  <c r="K25" i="98" s="1"/>
  <c r="J25" i="98" a="1"/>
  <c r="J25" i="98" s="1"/>
  <c r="I25" i="98" a="1"/>
  <c r="I25" i="98" s="1"/>
  <c r="H25" i="98" a="1"/>
  <c r="H25" i="98" s="1"/>
  <c r="G25" i="98" a="1"/>
  <c r="G25" i="98" s="1"/>
  <c r="F25" i="98" a="1"/>
  <c r="F25" i="98" s="1"/>
  <c r="E25" i="98" a="1"/>
  <c r="E25" i="98" s="1"/>
  <c r="D25" i="98" a="1"/>
  <c r="D25" i="98" s="1"/>
  <c r="L24" i="98" a="1"/>
  <c r="L24" i="98" s="1"/>
  <c r="K24" i="98" a="1"/>
  <c r="K24" i="98" s="1"/>
  <c r="J24" i="98" a="1"/>
  <c r="J24" i="98" s="1"/>
  <c r="I24" i="98" a="1"/>
  <c r="I24" i="98" s="1"/>
  <c r="H24" i="98" a="1"/>
  <c r="H24" i="98" s="1"/>
  <c r="G24" i="98" a="1"/>
  <c r="G24" i="98" s="1"/>
  <c r="F24" i="98" a="1"/>
  <c r="F24" i="98" s="1"/>
  <c r="E24" i="98" a="1"/>
  <c r="E24" i="98" s="1"/>
  <c r="D24" i="98" a="1"/>
  <c r="D24" i="98" s="1"/>
  <c r="L23" i="98" a="1"/>
  <c r="L23" i="98" s="1"/>
  <c r="K23" i="98" a="1"/>
  <c r="K23" i="98" s="1"/>
  <c r="J23" i="98" a="1"/>
  <c r="J23" i="98" s="1"/>
  <c r="I23" i="98" a="1"/>
  <c r="I23" i="98" s="1"/>
  <c r="H23" i="98" a="1"/>
  <c r="H23" i="98" s="1"/>
  <c r="G23" i="98" a="1"/>
  <c r="G23" i="98" s="1"/>
  <c r="F23" i="98" a="1"/>
  <c r="F23" i="98" s="1"/>
  <c r="E23" i="98" a="1"/>
  <c r="E23" i="98" s="1"/>
  <c r="D23" i="98" a="1"/>
  <c r="D23" i="98" s="1"/>
  <c r="L22" i="98" a="1"/>
  <c r="L22" i="98" s="1"/>
  <c r="K22" i="98" a="1"/>
  <c r="K22" i="98" s="1"/>
  <c r="J22" i="98" a="1"/>
  <c r="J22" i="98" s="1"/>
  <c r="I22" i="98" a="1"/>
  <c r="I22" i="98" s="1"/>
  <c r="H22" i="98" a="1"/>
  <c r="H22" i="98" s="1"/>
  <c r="G22" i="98" a="1"/>
  <c r="G22" i="98" s="1"/>
  <c r="F22" i="98" a="1"/>
  <c r="F22" i="98" s="1"/>
  <c r="E22" i="98" a="1"/>
  <c r="E22" i="98" s="1"/>
  <c r="D22" i="98" a="1"/>
  <c r="D22" i="98" s="1"/>
  <c r="L21" i="98" a="1"/>
  <c r="L21" i="98" s="1"/>
  <c r="K21" i="98" a="1"/>
  <c r="K21" i="98" s="1"/>
  <c r="J21" i="98" a="1"/>
  <c r="J21" i="98" s="1"/>
  <c r="I21" i="98" a="1"/>
  <c r="I21" i="98" s="1"/>
  <c r="H21" i="98" a="1"/>
  <c r="H21" i="98" s="1"/>
  <c r="G21" i="98" a="1"/>
  <c r="G21" i="98" s="1"/>
  <c r="F21" i="98" a="1"/>
  <c r="F21" i="98" s="1"/>
  <c r="E21" i="98" a="1"/>
  <c r="E21" i="98" s="1"/>
  <c r="D21" i="98" a="1"/>
  <c r="D21" i="98" s="1"/>
  <c r="L20" i="98" a="1"/>
  <c r="L20" i="98" s="1"/>
  <c r="K20" i="98" a="1"/>
  <c r="K20" i="98" s="1"/>
  <c r="J20" i="98" a="1"/>
  <c r="J20" i="98" s="1"/>
  <c r="I20" i="98" a="1"/>
  <c r="I20" i="98" s="1"/>
  <c r="H20" i="98" a="1"/>
  <c r="H20" i="98" s="1"/>
  <c r="G20" i="98" a="1"/>
  <c r="G20" i="98" s="1"/>
  <c r="F20" i="98" a="1"/>
  <c r="F20" i="98" s="1"/>
  <c r="E20" i="98" a="1"/>
  <c r="E20" i="98" s="1"/>
  <c r="D20" i="98" a="1"/>
  <c r="D20" i="98" s="1"/>
  <c r="L19" i="98" a="1"/>
  <c r="L19" i="98" s="1"/>
  <c r="K19" i="98" a="1"/>
  <c r="K19" i="98" s="1"/>
  <c r="J19" i="98" a="1"/>
  <c r="J19" i="98" s="1"/>
  <c r="I19" i="98" a="1"/>
  <c r="I19" i="98" s="1"/>
  <c r="H19" i="98" a="1"/>
  <c r="H19" i="98" s="1"/>
  <c r="G19" i="98" a="1"/>
  <c r="G19" i="98" s="1"/>
  <c r="F19" i="98" a="1"/>
  <c r="F19" i="98" s="1"/>
  <c r="E19" i="98" a="1"/>
  <c r="E19" i="98" s="1"/>
  <c r="D19" i="98" a="1"/>
  <c r="D19" i="98" s="1"/>
  <c r="L18" i="98" a="1"/>
  <c r="L18" i="98" s="1"/>
  <c r="K18" i="98" a="1"/>
  <c r="K18" i="98" s="1"/>
  <c r="J18" i="98" a="1"/>
  <c r="J18" i="98" s="1"/>
  <c r="I18" i="98" a="1"/>
  <c r="I18" i="98" s="1"/>
  <c r="H18" i="98" a="1"/>
  <c r="H18" i="98" s="1"/>
  <c r="G18" i="98" a="1"/>
  <c r="G18" i="98" s="1"/>
  <c r="F18" i="98" a="1"/>
  <c r="F18" i="98" s="1"/>
  <c r="E18" i="98" a="1"/>
  <c r="E18" i="98" s="1"/>
  <c r="D18" i="98" a="1"/>
  <c r="D18" i="98" s="1"/>
  <c r="L17" i="98" a="1"/>
  <c r="L17" i="98" s="1"/>
  <c r="K17" i="98" a="1"/>
  <c r="K17" i="98" s="1"/>
  <c r="J17" i="98" a="1"/>
  <c r="J17" i="98" s="1"/>
  <c r="I17" i="98" a="1"/>
  <c r="I17" i="98" s="1"/>
  <c r="H17" i="98" a="1"/>
  <c r="H17" i="98" s="1"/>
  <c r="G17" i="98" a="1"/>
  <c r="G17" i="98" s="1"/>
  <c r="F17" i="98" a="1"/>
  <c r="F17" i="98" s="1"/>
  <c r="E17" i="98" a="1"/>
  <c r="E17" i="98" s="1"/>
  <c r="E32" i="96" s="1"/>
  <c r="D17" i="98" a="1"/>
  <c r="D17" i="98" s="1"/>
  <c r="L16" i="98" a="1"/>
  <c r="L16" i="98" s="1"/>
  <c r="K16" i="98" a="1"/>
  <c r="K16" i="98" s="1"/>
  <c r="J16" i="98" a="1"/>
  <c r="J16" i="98" s="1"/>
  <c r="I16" i="98" a="1"/>
  <c r="I16" i="98" s="1"/>
  <c r="H16" i="98" a="1"/>
  <c r="H16" i="98" s="1"/>
  <c r="G16" i="98" a="1"/>
  <c r="G16" i="98" s="1"/>
  <c r="F16" i="98" a="1"/>
  <c r="F16" i="98" s="1"/>
  <c r="E16" i="98" a="1"/>
  <c r="E16" i="98" s="1"/>
  <c r="E31" i="96" s="1"/>
  <c r="D16" i="98" a="1"/>
  <c r="D16" i="98" s="1"/>
  <c r="L15" i="98" a="1"/>
  <c r="L15" i="98" s="1"/>
  <c r="K15" i="98" a="1"/>
  <c r="K15" i="98" s="1"/>
  <c r="J15" i="98" a="1"/>
  <c r="J15" i="98" s="1"/>
  <c r="I15" i="98" a="1"/>
  <c r="I15" i="98" s="1"/>
  <c r="H15" i="98" a="1"/>
  <c r="H15" i="98" s="1"/>
  <c r="G15" i="98" a="1"/>
  <c r="G15" i="98" s="1"/>
  <c r="F15" i="98" a="1"/>
  <c r="F15" i="98" s="1"/>
  <c r="E15" i="98" a="1"/>
  <c r="E15" i="98" s="1"/>
  <c r="E30" i="96" s="1"/>
  <c r="D15" i="98" a="1"/>
  <c r="D15" i="98" s="1"/>
  <c r="L14" i="98" a="1"/>
  <c r="L14" i="98" s="1"/>
  <c r="K14" i="98" a="1"/>
  <c r="K14" i="98" s="1"/>
  <c r="J14" i="98" a="1"/>
  <c r="J14" i="98" s="1"/>
  <c r="I14" i="98" a="1"/>
  <c r="I14" i="98" s="1"/>
  <c r="H14" i="98" a="1"/>
  <c r="H14" i="98" s="1"/>
  <c r="G14" i="98" a="1"/>
  <c r="G14" i="98" s="1"/>
  <c r="F14" i="98" a="1"/>
  <c r="F14" i="98" s="1"/>
  <c r="E14" i="98" a="1"/>
  <c r="E14" i="98" s="1"/>
  <c r="E29" i="96" s="1"/>
  <c r="D14" i="98" a="1"/>
  <c r="D14" i="98" s="1"/>
  <c r="L13" i="98" a="1"/>
  <c r="L13" i="98" s="1"/>
  <c r="K13" i="98" a="1"/>
  <c r="K13" i="98" s="1"/>
  <c r="J13" i="98" a="1"/>
  <c r="J13" i="98" s="1"/>
  <c r="I13" i="98" a="1"/>
  <c r="I13" i="98" s="1"/>
  <c r="H13" i="98" a="1"/>
  <c r="H13" i="98" s="1"/>
  <c r="G13" i="98" a="1"/>
  <c r="G13" i="98" s="1"/>
  <c r="F13" i="98" a="1"/>
  <c r="F13" i="98" s="1"/>
  <c r="E13" i="98" a="1"/>
  <c r="E13" i="98" s="1"/>
  <c r="E28" i="96" s="1"/>
  <c r="D13" i="98" a="1"/>
  <c r="D13" i="98" s="1"/>
  <c r="L12" i="98" a="1"/>
  <c r="L12" i="98" s="1"/>
  <c r="K12" i="98" a="1"/>
  <c r="K12" i="98" s="1"/>
  <c r="J12" i="98" a="1"/>
  <c r="J12" i="98" s="1"/>
  <c r="I12" i="98" a="1"/>
  <c r="I12" i="98" s="1"/>
  <c r="H12" i="98" a="1"/>
  <c r="H12" i="98" s="1"/>
  <c r="G12" i="98" a="1"/>
  <c r="G12" i="98" s="1"/>
  <c r="F12" i="98" a="1"/>
  <c r="F12" i="98" s="1"/>
  <c r="E12" i="98" a="1"/>
  <c r="E12" i="98" s="1"/>
  <c r="E27" i="96" s="1"/>
  <c r="D12" i="98" a="1"/>
  <c r="D12" i="98" s="1"/>
  <c r="L11" i="98" a="1"/>
  <c r="L11" i="98" s="1"/>
  <c r="K11" i="98" a="1"/>
  <c r="K11" i="98" s="1"/>
  <c r="J11" i="98" a="1"/>
  <c r="J11" i="98" s="1"/>
  <c r="I11" i="98" a="1"/>
  <c r="I11" i="98" s="1"/>
  <c r="H11" i="98" a="1"/>
  <c r="H11" i="98" s="1"/>
  <c r="G11" i="98" a="1"/>
  <c r="G11" i="98" s="1"/>
  <c r="F11" i="98" a="1"/>
  <c r="F11" i="98" s="1"/>
  <c r="E11" i="98" a="1"/>
  <c r="E11" i="98" s="1"/>
  <c r="E33" i="96" s="1"/>
  <c r="D11" i="98" a="1"/>
  <c r="D11" i="98" s="1"/>
  <c r="L10" i="98" a="1"/>
  <c r="L10" i="98" s="1"/>
  <c r="K10" i="98" a="1"/>
  <c r="K10" i="98" s="1"/>
  <c r="J10" i="98" a="1"/>
  <c r="J10" i="98" s="1"/>
  <c r="I10" i="98" a="1"/>
  <c r="I10" i="98" s="1"/>
  <c r="H10" i="98" a="1"/>
  <c r="H10" i="98" s="1"/>
  <c r="G10" i="98" a="1"/>
  <c r="G10" i="98" s="1"/>
  <c r="F10" i="98" a="1"/>
  <c r="F10" i="98" s="1"/>
  <c r="E10" i="98" a="1"/>
  <c r="E10" i="98" s="1"/>
  <c r="D10" i="98" a="1"/>
  <c r="D10" i="98" s="1"/>
  <c r="D8" i="98" a="1"/>
  <c r="D8" i="98" s="1"/>
  <c r="D7" i="98" a="1"/>
  <c r="D7" i="98" s="1"/>
  <c r="D6" i="98" a="1"/>
  <c r="D6" i="98" s="1"/>
  <c r="D5" i="98" a="1"/>
  <c r="D5" i="98" s="1"/>
  <c r="D34" i="97"/>
  <c r="D36" i="97"/>
  <c r="D27" i="97"/>
  <c r="D29" i="97"/>
  <c r="P18" i="97"/>
  <c r="P17" i="97"/>
  <c r="P16" i="97" a="1"/>
  <c r="P16" i="97" s="1"/>
  <c r="I16" i="97" a="1"/>
  <c r="I16" i="97" s="1"/>
  <c r="P15" i="97" a="1"/>
  <c r="P15" i="97" s="1"/>
  <c r="I15" i="97" a="1"/>
  <c r="I15" i="97" s="1"/>
  <c r="P14" i="97" a="1"/>
  <c r="P14" i="97" s="1"/>
  <c r="N14" i="97" a="1"/>
  <c r="N14" i="97" s="1"/>
  <c r="K14" i="97" a="1"/>
  <c r="K14" i="97" s="1"/>
  <c r="I14" i="97" a="1"/>
  <c r="I14" i="97" s="1"/>
  <c r="G14" i="97" a="1"/>
  <c r="G14" i="97" s="1"/>
  <c r="D14" i="97" a="1"/>
  <c r="D14" i="97" s="1"/>
  <c r="L12" i="97" a="1"/>
  <c r="L12" i="97" s="1"/>
  <c r="E12" i="97" a="1"/>
  <c r="E12" i="97" s="1"/>
  <c r="L11" i="97" a="1"/>
  <c r="L11" i="97" s="1"/>
  <c r="E11" i="97" a="1"/>
  <c r="E11" i="97" s="1"/>
  <c r="K7" i="97" a="1"/>
  <c r="K7" i="97" s="1"/>
  <c r="K6" i="97" a="1"/>
  <c r="K6" i="97" s="1"/>
  <c r="D6" i="97" a="1"/>
  <c r="D6" i="97" s="1"/>
  <c r="K5" i="97" a="1"/>
  <c r="K5" i="97" s="1"/>
  <c r="D5" i="97" a="1"/>
  <c r="D5" i="97" s="1"/>
  <c r="D38" i="96"/>
  <c r="D60" i="96"/>
  <c r="D35" i="96"/>
  <c r="D32" i="96"/>
  <c r="D31" i="96"/>
  <c r="D29" i="96"/>
  <c r="D28" i="96"/>
  <c r="D27" i="96"/>
  <c r="D26" i="96"/>
  <c r="D42" i="96"/>
  <c r="P16" i="96" a="1"/>
  <c r="P16" i="96" s="1"/>
  <c r="I16" i="96" a="1"/>
  <c r="I16" i="96" s="1"/>
  <c r="P15" i="96" a="1"/>
  <c r="P15" i="96" s="1"/>
  <c r="I15" i="96" a="1"/>
  <c r="I15" i="96" s="1"/>
  <c r="P14" i="96" a="1"/>
  <c r="P14" i="96" s="1"/>
  <c r="N14" i="96" a="1"/>
  <c r="N14" i="96" s="1"/>
  <c r="K14" i="96" a="1"/>
  <c r="K14" i="96" s="1"/>
  <c r="I14" i="96" a="1"/>
  <c r="I14" i="96" s="1"/>
  <c r="G14" i="96" a="1"/>
  <c r="G14" i="96" s="1"/>
  <c r="D14" i="96" a="1"/>
  <c r="D14" i="96" s="1"/>
  <c r="L12" i="96" a="1"/>
  <c r="L12" i="96" s="1"/>
  <c r="E12" i="96" a="1"/>
  <c r="E12" i="96" s="1"/>
  <c r="F70" i="96" s="1"/>
  <c r="L11" i="96" a="1"/>
  <c r="L11" i="96" s="1"/>
  <c r="E11" i="96" a="1"/>
  <c r="E11" i="96" s="1"/>
  <c r="K6" i="96" a="1"/>
  <c r="K6" i="96" s="1"/>
  <c r="D6" i="96" a="1"/>
  <c r="D6" i="96" s="1"/>
  <c r="K5" i="96" a="1"/>
  <c r="K5" i="96" s="1"/>
  <c r="D5" i="96" a="1"/>
  <c r="D5" i="96" s="1"/>
  <c r="H21" i="95"/>
  <c r="H20" i="95"/>
  <c r="H19" i="95"/>
  <c r="H18" i="95"/>
  <c r="H17" i="95"/>
  <c r="H25" i="94" a="1"/>
  <c r="H25" i="94" s="1"/>
  <c r="G25" i="94" a="1"/>
  <c r="G25" i="94" s="1"/>
  <c r="I567" i="116" s="1" a="1"/>
  <c r="I567" i="116" s="1"/>
  <c r="F25" i="94" a="1"/>
  <c r="F25" i="94" s="1"/>
  <c r="E25" i="94" a="1"/>
  <c r="E25" i="94" s="1"/>
  <c r="J36" i="93" s="1" a="1"/>
  <c r="J36" i="93" s="1"/>
  <c r="D25" i="94" a="1"/>
  <c r="D25" i="94" s="1"/>
  <c r="D22" i="94" a="1"/>
  <c r="D22" i="94" s="1"/>
  <c r="D21" i="94" a="1"/>
  <c r="D21" i="94" s="1"/>
  <c r="F19" i="94" a="1"/>
  <c r="F19" i="94" s="1"/>
  <c r="E19" i="94" a="1"/>
  <c r="E19" i="94" s="1"/>
  <c r="D19" i="94" a="1"/>
  <c r="D19" i="94" s="1"/>
  <c r="F18" i="94" a="1"/>
  <c r="F18" i="94" s="1"/>
  <c r="E18" i="94" a="1"/>
  <c r="E18" i="94" s="1"/>
  <c r="D18" i="94" a="1"/>
  <c r="D18" i="94" s="1"/>
  <c r="F17" i="94" a="1"/>
  <c r="F17" i="94" s="1"/>
  <c r="E17" i="94" a="1"/>
  <c r="E17" i="94" s="1"/>
  <c r="D17" i="94" a="1"/>
  <c r="D17" i="94" s="1"/>
  <c r="F16" i="94" a="1"/>
  <c r="F16" i="94" s="1"/>
  <c r="E16" i="94" a="1"/>
  <c r="E16" i="94" s="1"/>
  <c r="D16" i="94" a="1"/>
  <c r="D16" i="94" s="1"/>
  <c r="F15" i="94" a="1"/>
  <c r="F15" i="94" s="1"/>
  <c r="E15" i="94" a="1"/>
  <c r="E15" i="94" s="1"/>
  <c r="D15" i="94" a="1"/>
  <c r="D15" i="94" s="1"/>
  <c r="F14" i="94" a="1"/>
  <c r="F14" i="94" s="1"/>
  <c r="E14" i="94" a="1"/>
  <c r="E14" i="94" s="1"/>
  <c r="D14" i="94" a="1"/>
  <c r="D14" i="94" s="1"/>
  <c r="F13" i="94" a="1"/>
  <c r="F13" i="94" s="1"/>
  <c r="E13" i="94" a="1"/>
  <c r="E13" i="94" s="1"/>
  <c r="D13" i="94" a="1"/>
  <c r="D13" i="94" s="1"/>
  <c r="F12" i="94" a="1"/>
  <c r="F12" i="94" s="1"/>
  <c r="E12" i="94" a="1"/>
  <c r="E12" i="94" s="1"/>
  <c r="D12" i="94" a="1"/>
  <c r="D12" i="94" s="1"/>
  <c r="F11" i="94" a="1"/>
  <c r="F11" i="94" s="1"/>
  <c r="E11" i="94" a="1"/>
  <c r="E11" i="94" s="1"/>
  <c r="D11" i="94" a="1"/>
  <c r="D11" i="94" s="1"/>
  <c r="F10" i="94" a="1"/>
  <c r="F10" i="94" s="1"/>
  <c r="E10" i="94" a="1"/>
  <c r="E10" i="94" s="1"/>
  <c r="D10" i="94" a="1"/>
  <c r="D10" i="94" s="1"/>
  <c r="D7" i="94" a="1"/>
  <c r="D7" i="94" s="1"/>
  <c r="D6" i="94" a="1"/>
  <c r="D6" i="94" s="1"/>
  <c r="D5" i="94" a="1"/>
  <c r="D5" i="94" s="1"/>
  <c r="J37" i="93"/>
  <c r="J33" i="93" s="1"/>
  <c r="J32" i="93"/>
  <c r="J31" i="93"/>
  <c r="H31" i="93" a="1"/>
  <c r="H31" i="93" s="1"/>
  <c r="D31" i="93" a="1"/>
  <c r="D31" i="93" s="1"/>
  <c r="E29" i="93" a="1"/>
  <c r="E29" i="93" s="1"/>
  <c r="F39" i="93" s="1"/>
  <c r="E28" i="93" a="1"/>
  <c r="E28" i="93" s="1"/>
  <c r="D24" i="93" a="1"/>
  <c r="D24" i="93" s="1"/>
  <c r="D23" i="93" a="1"/>
  <c r="D23" i="93" s="1"/>
  <c r="D22" i="93" a="1"/>
  <c r="D22" i="93" s="1"/>
  <c r="I16" i="93"/>
  <c r="I14" i="93"/>
  <c r="G14" i="93" a="1"/>
  <c r="G14" i="93" s="1"/>
  <c r="D14" i="93" a="1"/>
  <c r="D14" i="93" s="1"/>
  <c r="E12" i="93" a="1"/>
  <c r="E12" i="93" s="1"/>
  <c r="F18" i="93" s="1"/>
  <c r="E11" i="93" a="1"/>
  <c r="E11" i="93" s="1"/>
  <c r="D7" i="93" a="1"/>
  <c r="D7" i="93" s="1"/>
  <c r="D6" i="93" a="1"/>
  <c r="D6" i="93" s="1"/>
  <c r="D5" i="93" a="1"/>
  <c r="D5" i="93" s="1"/>
  <c r="H48" i="92"/>
  <c r="E48" i="92"/>
  <c r="H47" i="92"/>
  <c r="E47" i="92"/>
  <c r="H46" i="92"/>
  <c r="E46" i="92"/>
  <c r="H39" i="92"/>
  <c r="H38" i="92"/>
  <c r="H37" i="92"/>
  <c r="E29" i="92"/>
  <c r="E16" i="92"/>
  <c r="E22" i="92" s="1"/>
  <c r="E6" i="92"/>
  <c r="E123" i="91" a="1"/>
  <c r="E123" i="91" s="1"/>
  <c r="D123" i="91" a="1"/>
  <c r="D123" i="91" s="1"/>
  <c r="E122" i="91" a="1"/>
  <c r="E122" i="91" s="1"/>
  <c r="D122" i="91" a="1"/>
  <c r="D122" i="91" s="1"/>
  <c r="E121" i="91" a="1"/>
  <c r="E121" i="91" s="1"/>
  <c r="D121" i="91" a="1"/>
  <c r="D121" i="91" s="1"/>
  <c r="E120" i="91" a="1"/>
  <c r="E120" i="91" s="1"/>
  <c r="D120" i="91" a="1"/>
  <c r="D120" i="91" s="1"/>
  <c r="G13" i="111" s="1" a="1"/>
  <c r="G13" i="111" s="1"/>
  <c r="D118" i="91" a="1"/>
  <c r="D118" i="91" s="1"/>
  <c r="D117" i="91" a="1"/>
  <c r="D117" i="91" s="1"/>
  <c r="F115" i="91" a="1"/>
  <c r="F115" i="91" s="1"/>
  <c r="E115" i="91" a="1"/>
  <c r="E115" i="91" s="1"/>
  <c r="I14" i="89" s="1"/>
  <c r="D115" i="91" a="1"/>
  <c r="D115" i="91" s="1"/>
  <c r="D114" i="91" a="1"/>
  <c r="D114" i="91" s="1"/>
  <c r="D113" i="91" a="1"/>
  <c r="D113" i="91" s="1"/>
  <c r="D112" i="91" a="1"/>
  <c r="D112" i="91" s="1"/>
  <c r="E110" i="91" a="1"/>
  <c r="E110" i="91" s="1"/>
  <c r="I15" i="86" s="1"/>
  <c r="D110" i="91" a="1"/>
  <c r="D110" i="91" s="1"/>
  <c r="D109" i="91" a="1"/>
  <c r="D109" i="91" s="1"/>
  <c r="D108" i="91" a="1"/>
  <c r="D108" i="91" s="1"/>
  <c r="F105" i="91" a="1"/>
  <c r="F105" i="91" s="1"/>
  <c r="E105" i="91" a="1"/>
  <c r="E105" i="91" s="1"/>
  <c r="D105" i="91" a="1"/>
  <c r="D105" i="91" s="1"/>
  <c r="F104" i="91" a="1"/>
  <c r="F104" i="91" s="1"/>
  <c r="E104" i="91" a="1"/>
  <c r="E104" i="91" s="1"/>
  <c r="D104" i="91" a="1"/>
  <c r="D104" i="91" s="1"/>
  <c r="F103" i="91" a="1"/>
  <c r="F103" i="91" s="1"/>
  <c r="E103" i="91" a="1"/>
  <c r="E103" i="91" s="1"/>
  <c r="D103" i="91" a="1"/>
  <c r="D103" i="91" s="1"/>
  <c r="F102" i="91" a="1"/>
  <c r="F102" i="91" s="1"/>
  <c r="E102" i="91" a="1"/>
  <c r="E102" i="91" s="1"/>
  <c r="D102" i="91" a="1"/>
  <c r="D102" i="91" s="1"/>
  <c r="F101" i="91" a="1"/>
  <c r="F101" i="91" s="1"/>
  <c r="E101" i="91" a="1"/>
  <c r="E101" i="91" s="1"/>
  <c r="D101" i="91" a="1"/>
  <c r="D101" i="91" s="1"/>
  <c r="F100" i="91" a="1"/>
  <c r="F100" i="91" s="1"/>
  <c r="E100" i="91" a="1"/>
  <c r="E100" i="91" s="1"/>
  <c r="D100" i="91" a="1"/>
  <c r="D100" i="91" s="1"/>
  <c r="F99" i="91" a="1"/>
  <c r="F99" i="91" s="1"/>
  <c r="E99" i="91" a="1"/>
  <c r="E99" i="91" s="1"/>
  <c r="D99" i="91" a="1"/>
  <c r="D99" i="91" s="1"/>
  <c r="F98" i="91" a="1"/>
  <c r="F98" i="91" s="1"/>
  <c r="E47" i="87" s="1" a="1"/>
  <c r="E47" i="87" s="1"/>
  <c r="E98" i="91" a="1"/>
  <c r="E98" i="91" s="1"/>
  <c r="D98" i="91" a="1"/>
  <c r="D98" i="91" s="1"/>
  <c r="D96" i="91" a="1"/>
  <c r="D96" i="91" s="1"/>
  <c r="D95" i="91" a="1"/>
  <c r="D95" i="91" s="1"/>
  <c r="D94" i="91" a="1"/>
  <c r="D94" i="91" s="1"/>
  <c r="F91" i="91" a="1"/>
  <c r="F91" i="91" s="1"/>
  <c r="E91" i="91" a="1"/>
  <c r="E91" i="91" s="1"/>
  <c r="D91" i="91" a="1"/>
  <c r="D91" i="91" s="1"/>
  <c r="F90" i="91" a="1"/>
  <c r="F90" i="91" s="1"/>
  <c r="E90" i="91" a="1"/>
  <c r="E90" i="91" s="1"/>
  <c r="D90" i="91" a="1"/>
  <c r="D90" i="91" s="1"/>
  <c r="F89" i="91" a="1"/>
  <c r="F89" i="91" s="1"/>
  <c r="E89" i="91" a="1"/>
  <c r="E89" i="91" s="1"/>
  <c r="D89" i="91" a="1"/>
  <c r="D89" i="91" s="1"/>
  <c r="F88" i="91" a="1"/>
  <c r="F88" i="91" s="1"/>
  <c r="E88" i="91" a="1"/>
  <c r="E88" i="91" s="1"/>
  <c r="D88" i="91" a="1"/>
  <c r="D88" i="91" s="1"/>
  <c r="F87" i="91" a="1"/>
  <c r="F87" i="91" s="1"/>
  <c r="E87" i="91" a="1"/>
  <c r="E87" i="91" s="1"/>
  <c r="D87" i="91" a="1"/>
  <c r="D87" i="91" s="1"/>
  <c r="F86" i="91" a="1"/>
  <c r="F86" i="91" s="1"/>
  <c r="E86" i="91" a="1"/>
  <c r="E86" i="91" s="1"/>
  <c r="D86" i="91" a="1"/>
  <c r="D86" i="91" s="1"/>
  <c r="F85" i="91" a="1"/>
  <c r="F85" i="91" s="1"/>
  <c r="E58" i="87" s="1" a="1"/>
  <c r="E58" i="87" s="1"/>
  <c r="E85" i="91" a="1"/>
  <c r="E85" i="91" s="1"/>
  <c r="D85" i="91" a="1"/>
  <c r="D85" i="91" s="1"/>
  <c r="D83" i="91" a="1"/>
  <c r="D83" i="91" s="1"/>
  <c r="D82" i="91" a="1"/>
  <c r="D82" i="91" s="1"/>
  <c r="D81" i="91" a="1"/>
  <c r="D81" i="91" s="1"/>
  <c r="F78" i="91" a="1"/>
  <c r="F78" i="91" s="1"/>
  <c r="E78" i="91" a="1"/>
  <c r="E78" i="91" s="1"/>
  <c r="D78" i="91" a="1"/>
  <c r="D78" i="91" s="1"/>
  <c r="F77" i="91" a="1"/>
  <c r="F77" i="91" s="1"/>
  <c r="E77" i="91" a="1"/>
  <c r="E77" i="91" s="1"/>
  <c r="D77" i="91" a="1"/>
  <c r="D77" i="91" s="1"/>
  <c r="F76" i="91" a="1"/>
  <c r="F76" i="91" s="1"/>
  <c r="E76" i="91" a="1"/>
  <c r="E76" i="91" s="1"/>
  <c r="D76" i="91" a="1"/>
  <c r="D76" i="91" s="1"/>
  <c r="D74" i="91" a="1"/>
  <c r="D74" i="91" s="1"/>
  <c r="D73" i="91" a="1"/>
  <c r="D73" i="91" s="1"/>
  <c r="D72" i="91" a="1"/>
  <c r="D72" i="91" s="1"/>
  <c r="N68" i="91" a="1"/>
  <c r="N68" i="91" s="1"/>
  <c r="M68" i="91" a="1"/>
  <c r="M68" i="91" s="1"/>
  <c r="L68" i="91" a="1"/>
  <c r="L68" i="91" s="1"/>
  <c r="K68" i="91" a="1"/>
  <c r="K68" i="91" s="1"/>
  <c r="J68" i="91" a="1"/>
  <c r="J68" i="91" s="1"/>
  <c r="I68" i="91" a="1"/>
  <c r="I68" i="91" s="1"/>
  <c r="H68" i="91" a="1"/>
  <c r="H68" i="91" s="1"/>
  <c r="G68" i="91" a="1"/>
  <c r="G68" i="91" s="1"/>
  <c r="F68" i="91" a="1"/>
  <c r="F68" i="91" s="1"/>
  <c r="E68" i="91" a="1"/>
  <c r="E68" i="91" s="1"/>
  <c r="D68" i="91" a="1"/>
  <c r="D68" i="91" s="1"/>
  <c r="N67" i="91" a="1"/>
  <c r="N67" i="91" s="1"/>
  <c r="M67" i="91" a="1"/>
  <c r="M67" i="91" s="1"/>
  <c r="L67" i="91" a="1"/>
  <c r="L67" i="91" s="1"/>
  <c r="K67" i="91" a="1"/>
  <c r="K67" i="91" s="1"/>
  <c r="J67" i="91" a="1"/>
  <c r="J67" i="91" s="1"/>
  <c r="I67" i="91" a="1"/>
  <c r="I67" i="91" s="1"/>
  <c r="H67" i="91" a="1"/>
  <c r="H67" i="91" s="1"/>
  <c r="G67" i="91" a="1"/>
  <c r="G67" i="91" s="1"/>
  <c r="F67" i="91" a="1"/>
  <c r="F67" i="91" s="1"/>
  <c r="E67" i="91" a="1"/>
  <c r="E67" i="91" s="1"/>
  <c r="D67" i="91" a="1"/>
  <c r="D67" i="91" s="1"/>
  <c r="N66" i="91" a="1"/>
  <c r="N66" i="91" s="1"/>
  <c r="M66" i="91" a="1"/>
  <c r="M66" i="91" s="1"/>
  <c r="L66" i="91" a="1"/>
  <c r="L66" i="91" s="1"/>
  <c r="K66" i="91" a="1"/>
  <c r="K66" i="91" s="1"/>
  <c r="J66" i="91" a="1"/>
  <c r="J66" i="91" s="1"/>
  <c r="I66" i="91" a="1"/>
  <c r="I66" i="91" s="1"/>
  <c r="H66" i="91" a="1"/>
  <c r="H66" i="91" s="1"/>
  <c r="G66" i="91" a="1"/>
  <c r="G66" i="91" s="1"/>
  <c r="F66" i="91" a="1"/>
  <c r="F66" i="91" s="1"/>
  <c r="E66" i="91" a="1"/>
  <c r="E66" i="91" s="1"/>
  <c r="D66" i="91" a="1"/>
  <c r="D66" i="91" s="1"/>
  <c r="N65" i="91" a="1"/>
  <c r="N65" i="91" s="1"/>
  <c r="M65" i="91" a="1"/>
  <c r="M65" i="91" s="1"/>
  <c r="L65" i="91" a="1"/>
  <c r="L65" i="91" s="1"/>
  <c r="K65" i="91" a="1"/>
  <c r="K65" i="91" s="1"/>
  <c r="J65" i="91" a="1"/>
  <c r="J65" i="91" s="1"/>
  <c r="I65" i="91" a="1"/>
  <c r="I65" i="91" s="1"/>
  <c r="H65" i="91" a="1"/>
  <c r="H65" i="91" s="1"/>
  <c r="G65" i="91" a="1"/>
  <c r="G65" i="91" s="1"/>
  <c r="F65" i="91" a="1"/>
  <c r="F65" i="91" s="1"/>
  <c r="E65" i="91" a="1"/>
  <c r="E65" i="91" s="1"/>
  <c r="D65" i="91" a="1"/>
  <c r="D65" i="91" s="1"/>
  <c r="N64" i="91" a="1"/>
  <c r="N64" i="91" s="1"/>
  <c r="M64" i="91" a="1"/>
  <c r="M64" i="91" s="1"/>
  <c r="L64" i="91" a="1"/>
  <c r="L64" i="91" s="1"/>
  <c r="K64" i="91" a="1"/>
  <c r="K64" i="91" s="1"/>
  <c r="J64" i="91" a="1"/>
  <c r="J64" i="91" s="1"/>
  <c r="I64" i="91" a="1"/>
  <c r="I64" i="91" s="1"/>
  <c r="H64" i="91" a="1"/>
  <c r="H64" i="91" s="1"/>
  <c r="G64" i="91" a="1"/>
  <c r="G64" i="91" s="1"/>
  <c r="F64" i="91" a="1"/>
  <c r="F64" i="91" s="1"/>
  <c r="E64" i="91" a="1"/>
  <c r="E64" i="91" s="1"/>
  <c r="D64" i="91" a="1"/>
  <c r="D64" i="91" s="1"/>
  <c r="N63" i="91" a="1"/>
  <c r="N63" i="91" s="1"/>
  <c r="M63" i="91" a="1"/>
  <c r="M63" i="91" s="1"/>
  <c r="L63" i="91" a="1"/>
  <c r="L63" i="91" s="1"/>
  <c r="K63" i="91" a="1"/>
  <c r="K63" i="91" s="1"/>
  <c r="J63" i="91" a="1"/>
  <c r="J63" i="91" s="1"/>
  <c r="I63" i="91" a="1"/>
  <c r="I63" i="91" s="1"/>
  <c r="H63" i="91" a="1"/>
  <c r="H63" i="91" s="1"/>
  <c r="G63" i="91" a="1"/>
  <c r="G63" i="91" s="1"/>
  <c r="F63" i="91" a="1"/>
  <c r="F63" i="91" s="1"/>
  <c r="E63" i="91" a="1"/>
  <c r="E63" i="91" s="1"/>
  <c r="D63" i="91" a="1"/>
  <c r="D63" i="91" s="1"/>
  <c r="N62" i="91" a="1"/>
  <c r="N62" i="91" s="1"/>
  <c r="M62" i="91" a="1"/>
  <c r="M62" i="91" s="1"/>
  <c r="L62" i="91" a="1"/>
  <c r="L62" i="91" s="1"/>
  <c r="K62" i="91" a="1"/>
  <c r="K62" i="91" s="1"/>
  <c r="J62" i="91" a="1"/>
  <c r="J62" i="91" s="1"/>
  <c r="I62" i="91" a="1"/>
  <c r="I62" i="91" s="1"/>
  <c r="H62" i="91" a="1"/>
  <c r="H62" i="91" s="1"/>
  <c r="G62" i="91" a="1"/>
  <c r="G62" i="91" s="1"/>
  <c r="F62" i="91" a="1"/>
  <c r="F62" i="91" s="1"/>
  <c r="E62" i="91" a="1"/>
  <c r="E62" i="91" s="1"/>
  <c r="D62" i="91" a="1"/>
  <c r="D62" i="91" s="1"/>
  <c r="N61" i="91" a="1"/>
  <c r="N61" i="91" s="1"/>
  <c r="M61" i="91" a="1"/>
  <c r="M61" i="91" s="1"/>
  <c r="L61" i="91" a="1"/>
  <c r="L61" i="91" s="1"/>
  <c r="K61" i="91" a="1"/>
  <c r="K61" i="91" s="1"/>
  <c r="J61" i="91" a="1"/>
  <c r="J61" i="91" s="1"/>
  <c r="I61" i="91" a="1"/>
  <c r="I61" i="91" s="1"/>
  <c r="H61" i="91" a="1"/>
  <c r="H61" i="91" s="1"/>
  <c r="G61" i="91" a="1"/>
  <c r="G61" i="91" s="1"/>
  <c r="F61" i="91" a="1"/>
  <c r="F61" i="91" s="1"/>
  <c r="E61" i="91" a="1"/>
  <c r="E61" i="91" s="1"/>
  <c r="D61" i="91" a="1"/>
  <c r="D61" i="91" s="1"/>
  <c r="N60" i="91" a="1"/>
  <c r="N60" i="91" s="1"/>
  <c r="M60" i="91" a="1"/>
  <c r="M60" i="91" s="1"/>
  <c r="L60" i="91" a="1"/>
  <c r="L60" i="91" s="1"/>
  <c r="K60" i="91" a="1"/>
  <c r="K60" i="91" s="1"/>
  <c r="J60" i="91" a="1"/>
  <c r="J60" i="91" s="1"/>
  <c r="I60" i="91" a="1"/>
  <c r="I60" i="91" s="1"/>
  <c r="H60" i="91" a="1"/>
  <c r="H60" i="91" s="1"/>
  <c r="G60" i="91" a="1"/>
  <c r="G60" i="91" s="1"/>
  <c r="F60" i="91" a="1"/>
  <c r="F60" i="91" s="1"/>
  <c r="E60" i="91" a="1"/>
  <c r="E60" i="91" s="1"/>
  <c r="D60" i="91" a="1"/>
  <c r="D60" i="91" s="1"/>
  <c r="D53" i="91" a="1"/>
  <c r="D53" i="91" s="1"/>
  <c r="D52" i="91" a="1"/>
  <c r="D52" i="91" s="1"/>
  <c r="D51" i="91" a="1"/>
  <c r="D51" i="91" s="1"/>
  <c r="D47" i="91" a="1"/>
  <c r="D47" i="91" s="1"/>
  <c r="D46" i="91" a="1"/>
  <c r="D46" i="91" s="1"/>
  <c r="D45" i="91" a="1"/>
  <c r="D45" i="91" s="1"/>
  <c r="E21" i="91" a="1"/>
  <c r="E21" i="91" s="1"/>
  <c r="D21" i="91" a="1"/>
  <c r="D21" i="91" s="1"/>
  <c r="E20" i="91" a="1"/>
  <c r="E20" i="91" s="1"/>
  <c r="D68" i="83" s="1"/>
  <c r="D20" i="91" a="1"/>
  <c r="D20" i="91" s="1"/>
  <c r="D18" i="91" a="1"/>
  <c r="D18" i="91" s="1"/>
  <c r="D17" i="91" a="1"/>
  <c r="D17" i="91" s="1"/>
  <c r="H13" i="91" a="1"/>
  <c r="H13" i="91" s="1"/>
  <c r="G30" i="83" s="1"/>
  <c r="G13" i="91" a="1"/>
  <c r="G13" i="91" s="1"/>
  <c r="F30" i="83" s="1"/>
  <c r="F13" i="91" a="1"/>
  <c r="F13" i="91" s="1"/>
  <c r="E30" i="83" s="1"/>
  <c r="E13" i="91" a="1"/>
  <c r="E13" i="91" s="1"/>
  <c r="D30" i="83" s="1"/>
  <c r="D13" i="91" a="1"/>
  <c r="D13" i="91" s="1"/>
  <c r="H12" i="91" a="1"/>
  <c r="H12" i="91" s="1"/>
  <c r="G48" i="84" s="1"/>
  <c r="G12" i="91" a="1"/>
  <c r="G12" i="91" s="1"/>
  <c r="F48" i="84" s="1"/>
  <c r="F12" i="91" a="1"/>
  <c r="F12" i="91" s="1"/>
  <c r="E48" i="84" s="1"/>
  <c r="E12" i="91" a="1"/>
  <c r="E12" i="91" s="1"/>
  <c r="D48" i="84" s="1"/>
  <c r="D12" i="91" a="1"/>
  <c r="D12" i="91" s="1"/>
  <c r="H11" i="91" a="1"/>
  <c r="H11" i="91" s="1"/>
  <c r="H18" i="82" s="1"/>
  <c r="G25" i="84" s="1"/>
  <c r="G11" i="91" a="1"/>
  <c r="G11" i="91" s="1"/>
  <c r="G18" i="82" s="1"/>
  <c r="F25" i="84" s="1"/>
  <c r="F11" i="91" a="1"/>
  <c r="F11" i="91" s="1"/>
  <c r="F23" i="82" s="1"/>
  <c r="O25" i="84" s="1"/>
  <c r="E11" i="91" a="1"/>
  <c r="E11" i="91" s="1"/>
  <c r="E23" i="82" s="1"/>
  <c r="N25" i="84" s="1"/>
  <c r="D11" i="91" a="1"/>
  <c r="D11" i="91" s="1"/>
  <c r="H10" i="91" a="1"/>
  <c r="H10" i="91" s="1"/>
  <c r="H22" i="82" s="1"/>
  <c r="Q25" i="83" s="1"/>
  <c r="G10" i="91" a="1"/>
  <c r="G10" i="91" s="1"/>
  <c r="G17" i="82" s="1"/>
  <c r="F25" i="83" s="1"/>
  <c r="F10" i="91" a="1"/>
  <c r="F10" i="91" s="1"/>
  <c r="F17" i="82" s="1"/>
  <c r="E25" i="83" s="1"/>
  <c r="E10" i="91" a="1"/>
  <c r="E10" i="91" s="1"/>
  <c r="E22" i="82" s="1"/>
  <c r="N25" i="83" s="1"/>
  <c r="D10" i="91" a="1"/>
  <c r="D10" i="91" s="1"/>
  <c r="H9" i="91" a="1"/>
  <c r="H9" i="91" s="1"/>
  <c r="H16" i="82" s="1"/>
  <c r="G9" i="91" a="1"/>
  <c r="G9" i="91" s="1"/>
  <c r="G16" i="82" s="1"/>
  <c r="F9" i="91" a="1"/>
  <c r="F9" i="91" s="1"/>
  <c r="F16" i="82" s="1"/>
  <c r="E9" i="91" a="1"/>
  <c r="E9" i="91" s="1"/>
  <c r="E16" i="82" s="1"/>
  <c r="D9" i="91" a="1"/>
  <c r="D9" i="91" s="1"/>
  <c r="D6" i="91" a="1"/>
  <c r="D6" i="91" s="1"/>
  <c r="D5" i="91" a="1"/>
  <c r="D5" i="91" s="1"/>
  <c r="P52" i="90" a="1"/>
  <c r="P52" i="90" s="1"/>
  <c r="F52" i="90" a="1"/>
  <c r="F52" i="90" s="1"/>
  <c r="N49" i="90" a="1"/>
  <c r="N49" i="90" s="1"/>
  <c r="D49" i="90" a="1"/>
  <c r="D49" i="90" s="1"/>
  <c r="R43" i="90" a="1"/>
  <c r="R43" i="90" s="1"/>
  <c r="N43" i="90" a="1"/>
  <c r="N43" i="90" s="1"/>
  <c r="H43" i="90" a="1"/>
  <c r="H43" i="90" s="1"/>
  <c r="D43" i="90" a="1"/>
  <c r="D43" i="90" s="1"/>
  <c r="E41" i="90" a="1"/>
  <c r="E41" i="90" s="1"/>
  <c r="E40" i="90" a="1"/>
  <c r="E40" i="90" s="1"/>
  <c r="D36" i="90" a="1"/>
  <c r="D36" i="90" s="1"/>
  <c r="D35" i="90" a="1"/>
  <c r="D35" i="90" s="1"/>
  <c r="N28" i="90"/>
  <c r="D28" i="90"/>
  <c r="N23" i="90"/>
  <c r="D23" i="90"/>
  <c r="I18" i="90"/>
  <c r="I17" i="90"/>
  <c r="I16" i="90"/>
  <c r="I13" i="90" a="1"/>
  <c r="I13" i="90" s="1"/>
  <c r="G13" i="90" a="1"/>
  <c r="G13" i="90" s="1"/>
  <c r="S23" i="90" s="1"/>
  <c r="D13" i="90" a="1"/>
  <c r="D13" i="90" s="1"/>
  <c r="E11" i="90" a="1"/>
  <c r="E11" i="90" s="1"/>
  <c r="E10" i="90" a="1"/>
  <c r="E10" i="90" s="1"/>
  <c r="D6" i="90" a="1"/>
  <c r="D6" i="90" s="1"/>
  <c r="D5" i="90" a="1"/>
  <c r="D5" i="90" s="1"/>
  <c r="O50" i="89" a="1"/>
  <c r="O50" i="89" s="1"/>
  <c r="F50" i="89" a="1"/>
  <c r="F50" i="89" s="1"/>
  <c r="M47" i="89" a="1"/>
  <c r="M47" i="89" s="1"/>
  <c r="D47" i="89" a="1"/>
  <c r="D47" i="89" s="1"/>
  <c r="I42" i="89"/>
  <c r="I41" i="89"/>
  <c r="P38" i="89" a="1"/>
  <c r="P38" i="89" s="1"/>
  <c r="M38" i="89" a="1"/>
  <c r="M38" i="89" s="1"/>
  <c r="G38" i="89" a="1"/>
  <c r="G38" i="89" s="1"/>
  <c r="D38" i="89" a="1"/>
  <c r="D38" i="89" s="1"/>
  <c r="E36" i="89" a="1"/>
  <c r="E36" i="89" s="1"/>
  <c r="E35" i="89" a="1"/>
  <c r="E35" i="89" s="1"/>
  <c r="D31" i="89" a="1"/>
  <c r="D31" i="89" s="1"/>
  <c r="D30" i="89" a="1"/>
  <c r="D30" i="89" s="1"/>
  <c r="M24" i="89"/>
  <c r="D24" i="89"/>
  <c r="M19" i="89"/>
  <c r="D19" i="89"/>
  <c r="I13" i="89" a="1"/>
  <c r="I13" i="89" s="1"/>
  <c r="G13" i="89" a="1"/>
  <c r="G13" i="89" s="1"/>
  <c r="D13" i="89" a="1"/>
  <c r="D13" i="89" s="1"/>
  <c r="E11" i="89" a="1"/>
  <c r="E11" i="89" s="1"/>
  <c r="E10" i="89" a="1"/>
  <c r="E10" i="89" s="1"/>
  <c r="D6" i="89" a="1"/>
  <c r="D6" i="89" s="1"/>
  <c r="D5" i="89" a="1"/>
  <c r="D5" i="89" s="1"/>
  <c r="P32" i="88" a="1"/>
  <c r="P32" i="88" s="1"/>
  <c r="F32" i="88" a="1"/>
  <c r="F32" i="88" s="1"/>
  <c r="N29" i="88" a="1"/>
  <c r="N29" i="88" s="1"/>
  <c r="D29" i="88" a="1"/>
  <c r="D29" i="88" s="1"/>
  <c r="N25" i="88"/>
  <c r="D25" i="88"/>
  <c r="N20" i="88"/>
  <c r="D20" i="88"/>
  <c r="I13" i="88" a="1"/>
  <c r="I13" i="88" s="1"/>
  <c r="G13" i="88" a="1"/>
  <c r="G13" i="88" s="1"/>
  <c r="D13" i="88" a="1"/>
  <c r="D13" i="88" s="1"/>
  <c r="E11" i="88" a="1"/>
  <c r="E11" i="88" s="1"/>
  <c r="E10" i="88" a="1"/>
  <c r="E10" i="88" s="1"/>
  <c r="D6" i="88" a="1"/>
  <c r="D6" i="88" s="1"/>
  <c r="D5" i="88" a="1"/>
  <c r="D5" i="88" s="1"/>
  <c r="O203" i="87"/>
  <c r="E203" i="87"/>
  <c r="O202" i="87"/>
  <c r="E202" i="87"/>
  <c r="O201" i="87"/>
  <c r="E201" i="87"/>
  <c r="O200" i="87"/>
  <c r="E200" i="87"/>
  <c r="O199" i="87"/>
  <c r="N199" i="87"/>
  <c r="E199" i="87"/>
  <c r="D199" i="87"/>
  <c r="O198" i="87"/>
  <c r="E198" i="87"/>
  <c r="O197" i="87"/>
  <c r="E197" i="87"/>
  <c r="O196" i="87"/>
  <c r="E196" i="87"/>
  <c r="O195" i="87"/>
  <c r="E195" i="87"/>
  <c r="O194" i="87"/>
  <c r="N194" i="87"/>
  <c r="E194" i="87"/>
  <c r="D194" i="87"/>
  <c r="O193" i="87"/>
  <c r="E193" i="87"/>
  <c r="O192" i="87"/>
  <c r="E192" i="87"/>
  <c r="O191" i="87"/>
  <c r="E191" i="87"/>
  <c r="O190" i="87"/>
  <c r="E190" i="87"/>
  <c r="O189" i="87"/>
  <c r="N189" i="87"/>
  <c r="E189" i="87"/>
  <c r="D189" i="87"/>
  <c r="F184" i="87"/>
  <c r="E184" i="87"/>
  <c r="F183" i="87"/>
  <c r="E183" i="87"/>
  <c r="F182" i="87"/>
  <c r="E182" i="87"/>
  <c r="F181" i="87"/>
  <c r="E181" i="87"/>
  <c r="F180" i="87"/>
  <c r="E180" i="87"/>
  <c r="D180" i="87"/>
  <c r="F179" i="87"/>
  <c r="E179" i="87"/>
  <c r="F178" i="87"/>
  <c r="E178" i="87"/>
  <c r="F177" i="87"/>
  <c r="E177" i="87"/>
  <c r="F176" i="87"/>
  <c r="E176" i="87"/>
  <c r="F175" i="87"/>
  <c r="E175" i="87"/>
  <c r="D175" i="87"/>
  <c r="F174" i="87"/>
  <c r="E174" i="87"/>
  <c r="F173" i="87"/>
  <c r="E173" i="87"/>
  <c r="F172" i="87"/>
  <c r="E172" i="87"/>
  <c r="F171" i="87"/>
  <c r="E171" i="87"/>
  <c r="F170" i="87"/>
  <c r="E170" i="87"/>
  <c r="D170" i="87"/>
  <c r="D162" i="87"/>
  <c r="O156" i="87"/>
  <c r="E156" i="87"/>
  <c r="O155" i="87"/>
  <c r="E155" i="87"/>
  <c r="O154" i="87"/>
  <c r="E154" i="87"/>
  <c r="O153" i="87"/>
  <c r="E153" i="87"/>
  <c r="O152" i="87"/>
  <c r="N152" i="87"/>
  <c r="E152" i="87"/>
  <c r="D152" i="87"/>
  <c r="O151" i="87"/>
  <c r="E151" i="87"/>
  <c r="O150" i="87"/>
  <c r="E150" i="87"/>
  <c r="O149" i="87"/>
  <c r="E149" i="87"/>
  <c r="O148" i="87"/>
  <c r="E148" i="87"/>
  <c r="O147" i="87"/>
  <c r="N147" i="87"/>
  <c r="E147" i="87"/>
  <c r="D147" i="87"/>
  <c r="O146" i="87"/>
  <c r="E146" i="87"/>
  <c r="O145" i="87"/>
  <c r="E145" i="87"/>
  <c r="O144" i="87"/>
  <c r="E144" i="87"/>
  <c r="O143" i="87"/>
  <c r="E143" i="87"/>
  <c r="O142" i="87"/>
  <c r="N142" i="87"/>
  <c r="E142" i="87"/>
  <c r="D142" i="87"/>
  <c r="I137" i="87" a="1"/>
  <c r="I137" i="87" s="1"/>
  <c r="I136" i="87" a="1"/>
  <c r="I136" i="87" s="1"/>
  <c r="I135" i="87" a="1"/>
  <c r="I135" i="87" s="1"/>
  <c r="I134" i="87" a="1"/>
  <c r="I134" i="87" s="1"/>
  <c r="I133" i="87" a="1"/>
  <c r="I133" i="87" s="1"/>
  <c r="G133" i="87" a="1"/>
  <c r="G170" i="87" s="1"/>
  <c r="D133" i="87" a="1"/>
  <c r="D133" i="87" s="1"/>
  <c r="E131" i="87" a="1"/>
  <c r="E131" i="87" s="1"/>
  <c r="E130" i="87" a="1"/>
  <c r="E130" i="87" s="1"/>
  <c r="D126" i="87" a="1"/>
  <c r="D126" i="87" s="1"/>
  <c r="D125" i="87" a="1"/>
  <c r="D125" i="87" s="1"/>
  <c r="O119" i="87"/>
  <c r="E119" i="87"/>
  <c r="O118" i="87"/>
  <c r="E118" i="87"/>
  <c r="O117" i="87"/>
  <c r="E117" i="87"/>
  <c r="O116" i="87"/>
  <c r="E116" i="87"/>
  <c r="O115" i="87"/>
  <c r="N115" i="87"/>
  <c r="E115" i="87"/>
  <c r="D115" i="87"/>
  <c r="O114" i="87"/>
  <c r="E114" i="87"/>
  <c r="O113" i="87"/>
  <c r="E113" i="87"/>
  <c r="O112" i="87"/>
  <c r="E112" i="87"/>
  <c r="O111" i="87"/>
  <c r="E111" i="87"/>
  <c r="O110" i="87"/>
  <c r="N110" i="87"/>
  <c r="E110" i="87"/>
  <c r="D110" i="87"/>
  <c r="O109" i="87"/>
  <c r="E109" i="87"/>
  <c r="O108" i="87"/>
  <c r="E108" i="87"/>
  <c r="O107" i="87"/>
  <c r="E107" i="87"/>
  <c r="O106" i="87"/>
  <c r="E106" i="87"/>
  <c r="O105" i="87"/>
  <c r="N105" i="87"/>
  <c r="E105" i="87"/>
  <c r="D105" i="87"/>
  <c r="E100" i="87"/>
  <c r="F99" i="87"/>
  <c r="E99" i="87"/>
  <c r="F98" i="87"/>
  <c r="E98" i="87"/>
  <c r="F97" i="87"/>
  <c r="E97" i="87"/>
  <c r="F96" i="87"/>
  <c r="E96" i="87"/>
  <c r="D96" i="87"/>
  <c r="E95" i="87"/>
  <c r="E94" i="87"/>
  <c r="E93" i="87"/>
  <c r="F92" i="87"/>
  <c r="E92" i="87"/>
  <c r="F91" i="87"/>
  <c r="E91" i="87"/>
  <c r="D91" i="87"/>
  <c r="F90" i="87"/>
  <c r="E90" i="87"/>
  <c r="E89" i="87"/>
  <c r="E88" i="87"/>
  <c r="E87" i="87"/>
  <c r="F86" i="87"/>
  <c r="E86" i="87"/>
  <c r="D86" i="87"/>
  <c r="O81" i="87"/>
  <c r="E81" i="87"/>
  <c r="O80" i="87"/>
  <c r="E80" i="87"/>
  <c r="O79" i="87"/>
  <c r="E79" i="87"/>
  <c r="O78" i="87"/>
  <c r="E78" i="87"/>
  <c r="O77" i="87"/>
  <c r="N77" i="87"/>
  <c r="E77" i="87"/>
  <c r="D77" i="87"/>
  <c r="O76" i="87"/>
  <c r="E76" i="87"/>
  <c r="O75" i="87"/>
  <c r="E75" i="87"/>
  <c r="O74" i="87"/>
  <c r="E74" i="87"/>
  <c r="O73" i="87"/>
  <c r="E73" i="87"/>
  <c r="O72" i="87"/>
  <c r="N72" i="87"/>
  <c r="E72" i="87"/>
  <c r="D72" i="87"/>
  <c r="O71" i="87"/>
  <c r="E71" i="87"/>
  <c r="O70" i="87"/>
  <c r="E70" i="87"/>
  <c r="O69" i="87"/>
  <c r="E69" i="87"/>
  <c r="O68" i="87"/>
  <c r="E68" i="87"/>
  <c r="O67" i="87"/>
  <c r="N67" i="87"/>
  <c r="E67" i="87"/>
  <c r="D67" i="87"/>
  <c r="O36" i="87"/>
  <c r="E36" i="87"/>
  <c r="O35" i="87"/>
  <c r="E35" i="87"/>
  <c r="O34" i="87"/>
  <c r="E34" i="87"/>
  <c r="O33" i="87"/>
  <c r="E33" i="87"/>
  <c r="O32" i="87"/>
  <c r="N32" i="87"/>
  <c r="E32" i="87"/>
  <c r="D32" i="87"/>
  <c r="O31" i="87"/>
  <c r="E31" i="87"/>
  <c r="O30" i="87"/>
  <c r="E30" i="87"/>
  <c r="O29" i="87"/>
  <c r="E29" i="87"/>
  <c r="O28" i="87"/>
  <c r="E28" i="87"/>
  <c r="O27" i="87"/>
  <c r="N27" i="87"/>
  <c r="E27" i="87"/>
  <c r="D27" i="87"/>
  <c r="O26" i="87"/>
  <c r="E26" i="87"/>
  <c r="O25" i="87"/>
  <c r="E25" i="87"/>
  <c r="O24" i="87"/>
  <c r="E24" i="87"/>
  <c r="O23" i="87"/>
  <c r="E23" i="87"/>
  <c r="O22" i="87"/>
  <c r="N22" i="87"/>
  <c r="E22" i="87"/>
  <c r="D22" i="87"/>
  <c r="I17" i="87" a="1"/>
  <c r="I17" i="87" s="1"/>
  <c r="I16" i="87" a="1"/>
  <c r="I16" i="87" s="1"/>
  <c r="I15" i="87" a="1"/>
  <c r="I15" i="87" s="1"/>
  <c r="I14" i="87" a="1"/>
  <c r="I14" i="87" s="1"/>
  <c r="I13" i="87" a="1"/>
  <c r="I13" i="87" s="1"/>
  <c r="G13" i="87" a="1"/>
  <c r="J67" i="87" s="1"/>
  <c r="D13" i="87" a="1"/>
  <c r="D13" i="87" s="1"/>
  <c r="E11" i="87" a="1"/>
  <c r="E11" i="87" s="1"/>
  <c r="E10" i="87" a="1"/>
  <c r="E10" i="87" s="1"/>
  <c r="D6" i="87" a="1"/>
  <c r="D6" i="87" s="1"/>
  <c r="D5" i="87" a="1"/>
  <c r="D5" i="87" s="1"/>
  <c r="P64" i="86" a="1"/>
  <c r="P64" i="86" s="1"/>
  <c r="F64" i="86" a="1"/>
  <c r="F64" i="86" s="1"/>
  <c r="N61" i="86" a="1"/>
  <c r="N61" i="86" s="1"/>
  <c r="D61" i="86" a="1"/>
  <c r="D61" i="86" s="1"/>
  <c r="O57" i="86"/>
  <c r="N57" i="86"/>
  <c r="E57" i="86"/>
  <c r="D57" i="86"/>
  <c r="O56" i="86"/>
  <c r="N56" i="86"/>
  <c r="E56" i="86"/>
  <c r="D56" i="86"/>
  <c r="O55" i="86"/>
  <c r="N55" i="86"/>
  <c r="E55" i="86"/>
  <c r="D55" i="86"/>
  <c r="I48" i="86" a="1"/>
  <c r="I48" i="86" s="1"/>
  <c r="G48" i="86" a="1"/>
  <c r="G48" i="86" s="1"/>
  <c r="D48" i="86" a="1"/>
  <c r="D48" i="86" s="1"/>
  <c r="E46" i="86" a="1"/>
  <c r="E46" i="86" s="1"/>
  <c r="J55" i="86" s="1"/>
  <c r="E45" i="86" a="1"/>
  <c r="E45" i="86" s="1"/>
  <c r="D41" i="86" a="1"/>
  <c r="D41" i="86" s="1"/>
  <c r="D40" i="86" a="1"/>
  <c r="D40" i="86" s="1"/>
  <c r="O36" i="86"/>
  <c r="N36" i="86"/>
  <c r="E36" i="86"/>
  <c r="D36" i="86"/>
  <c r="O35" i="86"/>
  <c r="N35" i="86"/>
  <c r="E35" i="86"/>
  <c r="D35" i="86"/>
  <c r="O34" i="86"/>
  <c r="N34" i="86"/>
  <c r="E34" i="86"/>
  <c r="D34" i="86"/>
  <c r="O29" i="86"/>
  <c r="N29" i="86"/>
  <c r="E29" i="86"/>
  <c r="D29" i="86"/>
  <c r="O28" i="86"/>
  <c r="N28" i="86"/>
  <c r="E28" i="86"/>
  <c r="D28" i="86"/>
  <c r="O27" i="86"/>
  <c r="N27" i="86"/>
  <c r="E27" i="86"/>
  <c r="D27" i="86"/>
  <c r="I18" i="86"/>
  <c r="I17" i="86"/>
  <c r="I16" i="86"/>
  <c r="I13" i="86" a="1"/>
  <c r="I13" i="86" s="1"/>
  <c r="G13" i="86" a="1"/>
  <c r="G13" i="86" s="1"/>
  <c r="D13" i="86" a="1"/>
  <c r="D13" i="86" s="1"/>
  <c r="E11" i="86" a="1"/>
  <c r="E11" i="86" s="1"/>
  <c r="E10" i="86" a="1"/>
  <c r="E10" i="86" s="1"/>
  <c r="D6" i="86" a="1"/>
  <c r="D6" i="86" s="1"/>
  <c r="D5" i="86" a="1"/>
  <c r="D5" i="86" s="1"/>
  <c r="P101" i="85" a="1"/>
  <c r="P101" i="85" s="1"/>
  <c r="F101" i="85" a="1"/>
  <c r="F101" i="85" s="1"/>
  <c r="N98" i="85" a="1"/>
  <c r="N98" i="85" s="1"/>
  <c r="D98" i="85" a="1"/>
  <c r="D98" i="85" s="1"/>
  <c r="I93" i="85"/>
  <c r="I92" i="85"/>
  <c r="Q89" i="85" a="1"/>
  <c r="Q89" i="85" s="1"/>
  <c r="N89" i="85" a="1"/>
  <c r="N89" i="85" s="1"/>
  <c r="G89" i="85" a="1"/>
  <c r="G89" i="85" s="1"/>
  <c r="D89" i="85" a="1"/>
  <c r="D89" i="85" s="1"/>
  <c r="E87" i="85" a="1"/>
  <c r="E87" i="85" s="1"/>
  <c r="P96" i="85" s="1"/>
  <c r="E86" i="85" a="1"/>
  <c r="E86" i="85" s="1"/>
  <c r="D82" i="85" a="1"/>
  <c r="D82" i="85" s="1"/>
  <c r="D81" i="85" a="1"/>
  <c r="D81" i="85" s="1"/>
  <c r="O75" i="85"/>
  <c r="E75" i="85"/>
  <c r="O74" i="85"/>
  <c r="E74" i="85"/>
  <c r="O73" i="85"/>
  <c r="E73" i="85"/>
  <c r="O72" i="85"/>
  <c r="E72" i="85"/>
  <c r="O71" i="85"/>
  <c r="N71" i="85"/>
  <c r="E71" i="85"/>
  <c r="D71" i="85"/>
  <c r="O70" i="85"/>
  <c r="E70" i="85"/>
  <c r="O69" i="85"/>
  <c r="E69" i="85"/>
  <c r="O68" i="85"/>
  <c r="E68" i="85"/>
  <c r="O67" i="85"/>
  <c r="E67" i="85"/>
  <c r="O66" i="85"/>
  <c r="N66" i="85"/>
  <c r="E66" i="85"/>
  <c r="D66" i="85"/>
  <c r="O65" i="85"/>
  <c r="E65" i="85"/>
  <c r="O64" i="85"/>
  <c r="E64" i="85"/>
  <c r="O63" i="85"/>
  <c r="E63" i="85"/>
  <c r="O62" i="85"/>
  <c r="E62" i="85"/>
  <c r="O61" i="85"/>
  <c r="N61" i="85"/>
  <c r="E61" i="85"/>
  <c r="D61" i="85"/>
  <c r="N60" i="85"/>
  <c r="D60" i="85"/>
  <c r="N59" i="85"/>
  <c r="D59" i="85"/>
  <c r="N58" i="85"/>
  <c r="D58" i="85"/>
  <c r="N57" i="85"/>
  <c r="D57" i="85"/>
  <c r="O40" i="85"/>
  <c r="E40" i="85"/>
  <c r="O39" i="85"/>
  <c r="E39" i="85"/>
  <c r="O38" i="85"/>
  <c r="E38" i="85"/>
  <c r="O37" i="85"/>
  <c r="E37" i="85"/>
  <c r="O36" i="85"/>
  <c r="N36" i="85"/>
  <c r="E36" i="85"/>
  <c r="D36" i="85"/>
  <c r="O35" i="85"/>
  <c r="E35" i="85"/>
  <c r="O34" i="85"/>
  <c r="E34" i="85"/>
  <c r="O33" i="85"/>
  <c r="E33" i="85"/>
  <c r="O32" i="85"/>
  <c r="E32" i="85"/>
  <c r="O31" i="85"/>
  <c r="N31" i="85"/>
  <c r="E31" i="85"/>
  <c r="D31" i="85"/>
  <c r="O30" i="85"/>
  <c r="E30" i="85"/>
  <c r="O29" i="85"/>
  <c r="E29" i="85"/>
  <c r="O28" i="85"/>
  <c r="E28" i="85"/>
  <c r="O27" i="85"/>
  <c r="E27" i="85"/>
  <c r="O26" i="85"/>
  <c r="N26" i="85"/>
  <c r="E26" i="85"/>
  <c r="D26" i="85"/>
  <c r="N25" i="85"/>
  <c r="D25" i="85"/>
  <c r="N24" i="85"/>
  <c r="D24" i="85"/>
  <c r="N23" i="85"/>
  <c r="D23" i="85"/>
  <c r="N22" i="85"/>
  <c r="D22" i="85"/>
  <c r="I14" i="85" a="1"/>
  <c r="I14" i="85" s="1"/>
  <c r="I13" i="85" a="1"/>
  <c r="I13" i="85" s="1"/>
  <c r="G13" i="85" a="1"/>
  <c r="G13" i="85" s="1"/>
  <c r="D13" i="85" a="1"/>
  <c r="D13" i="85" s="1"/>
  <c r="E11" i="85" a="1"/>
  <c r="E11" i="85" s="1"/>
  <c r="P77" i="85" s="1"/>
  <c r="E10" i="85" a="1"/>
  <c r="E10" i="85" s="1"/>
  <c r="D6" i="85" a="1"/>
  <c r="D6" i="85" s="1"/>
  <c r="D5" i="85" a="1"/>
  <c r="D5" i="85" s="1"/>
  <c r="P250" i="84" a="1"/>
  <c r="P250" i="84" s="1"/>
  <c r="F250" i="84" a="1"/>
  <c r="F250" i="84" s="1"/>
  <c r="N247" i="84" a="1"/>
  <c r="N247" i="84" s="1"/>
  <c r="D247" i="84" a="1"/>
  <c r="D247" i="84" s="1"/>
  <c r="O243" i="84"/>
  <c r="E243" i="84"/>
  <c r="O242" i="84"/>
  <c r="E242" i="84"/>
  <c r="O241" i="84"/>
  <c r="E241" i="84"/>
  <c r="O240" i="84"/>
  <c r="E240" i="84"/>
  <c r="O239" i="84"/>
  <c r="N239" i="84"/>
  <c r="E239" i="84"/>
  <c r="D239" i="84"/>
  <c r="O238" i="84"/>
  <c r="E238" i="84"/>
  <c r="O237" i="84"/>
  <c r="E237" i="84"/>
  <c r="O236" i="84"/>
  <c r="E236" i="84"/>
  <c r="O235" i="84"/>
  <c r="E235" i="84"/>
  <c r="O234" i="84"/>
  <c r="N234" i="84"/>
  <c r="E234" i="84"/>
  <c r="D234" i="84"/>
  <c r="O233" i="84"/>
  <c r="E233" i="84"/>
  <c r="O232" i="84"/>
  <c r="E232" i="84"/>
  <c r="O231" i="84"/>
  <c r="E231" i="84"/>
  <c r="O230" i="84"/>
  <c r="E230" i="84"/>
  <c r="O229" i="84"/>
  <c r="N229" i="84"/>
  <c r="E229" i="84"/>
  <c r="D229" i="84"/>
  <c r="N228" i="84"/>
  <c r="D228" i="84"/>
  <c r="N227" i="84"/>
  <c r="D227" i="84"/>
  <c r="N226" i="84"/>
  <c r="D226" i="84"/>
  <c r="N225" i="84"/>
  <c r="D225" i="84"/>
  <c r="I216" i="84" a="1"/>
  <c r="I216" i="84" s="1"/>
  <c r="J215" i="84" a="1"/>
  <c r="J215" i="84" s="1"/>
  <c r="I215" i="84" a="1"/>
  <c r="I215" i="84" s="1"/>
  <c r="G215" i="84" a="1"/>
  <c r="G215" i="84" s="1"/>
  <c r="D215" i="84" a="1"/>
  <c r="D215" i="84" s="1"/>
  <c r="E213" i="84" a="1"/>
  <c r="E213" i="84" s="1"/>
  <c r="E212" i="84" a="1"/>
  <c r="E212" i="84" s="1"/>
  <c r="D208" i="84" a="1"/>
  <c r="D208" i="84" s="1"/>
  <c r="D207" i="84" a="1"/>
  <c r="D207" i="84" s="1"/>
  <c r="O203" i="84"/>
  <c r="E203" i="84"/>
  <c r="O202" i="84"/>
  <c r="E202" i="84"/>
  <c r="O201" i="84"/>
  <c r="E201" i="84"/>
  <c r="O200" i="84"/>
  <c r="E200" i="84"/>
  <c r="O199" i="84"/>
  <c r="N199" i="84"/>
  <c r="E199" i="84"/>
  <c r="D199" i="84"/>
  <c r="O198" i="84"/>
  <c r="E198" i="84"/>
  <c r="O197" i="84"/>
  <c r="E197" i="84"/>
  <c r="O196" i="84"/>
  <c r="E196" i="84"/>
  <c r="O195" i="84"/>
  <c r="E195" i="84"/>
  <c r="O194" i="84"/>
  <c r="N194" i="84"/>
  <c r="E194" i="84"/>
  <c r="D194" i="84"/>
  <c r="O193" i="84"/>
  <c r="E193" i="84"/>
  <c r="O192" i="84"/>
  <c r="E192" i="84"/>
  <c r="O191" i="84"/>
  <c r="E191" i="84"/>
  <c r="O190" i="84"/>
  <c r="E190" i="84"/>
  <c r="O189" i="84"/>
  <c r="N189" i="84"/>
  <c r="E189" i="84"/>
  <c r="D189" i="84"/>
  <c r="F184" i="84"/>
  <c r="E184" i="84"/>
  <c r="I183" i="84"/>
  <c r="H183" i="84"/>
  <c r="G183" i="84"/>
  <c r="F183" i="84"/>
  <c r="E183" i="84"/>
  <c r="I182" i="84"/>
  <c r="H182" i="84"/>
  <c r="G182" i="84"/>
  <c r="F182" i="84"/>
  <c r="E182" i="84"/>
  <c r="I181" i="84"/>
  <c r="H181" i="84"/>
  <c r="G181" i="84"/>
  <c r="F181" i="84"/>
  <c r="E181" i="84"/>
  <c r="I180" i="84"/>
  <c r="H180" i="84"/>
  <c r="G180" i="84"/>
  <c r="F180" i="84"/>
  <c r="E180" i="84"/>
  <c r="D180" i="84"/>
  <c r="E179" i="84"/>
  <c r="I178" i="84"/>
  <c r="H178" i="84"/>
  <c r="G178" i="84"/>
  <c r="F178" i="84"/>
  <c r="E178" i="84"/>
  <c r="I177" i="84"/>
  <c r="H177" i="84"/>
  <c r="G177" i="84"/>
  <c r="F177" i="84"/>
  <c r="E177" i="84"/>
  <c r="I176" i="84"/>
  <c r="H176" i="84"/>
  <c r="G176" i="84"/>
  <c r="F176" i="84"/>
  <c r="E176" i="84"/>
  <c r="I175" i="84"/>
  <c r="H175" i="84"/>
  <c r="G175" i="84"/>
  <c r="F175" i="84"/>
  <c r="E175" i="84"/>
  <c r="D175" i="84"/>
  <c r="I174" i="84"/>
  <c r="H174" i="84"/>
  <c r="E174" i="84"/>
  <c r="I173" i="84"/>
  <c r="H173" i="84"/>
  <c r="G173" i="84"/>
  <c r="F173" i="84"/>
  <c r="E173" i="84"/>
  <c r="I172" i="84"/>
  <c r="H172" i="84"/>
  <c r="G172" i="84"/>
  <c r="F172" i="84"/>
  <c r="E172" i="84"/>
  <c r="I171" i="84"/>
  <c r="H171" i="84"/>
  <c r="G171" i="84"/>
  <c r="F171" i="84"/>
  <c r="E171" i="84"/>
  <c r="I170" i="84"/>
  <c r="H170" i="84"/>
  <c r="G170" i="84"/>
  <c r="F170" i="84"/>
  <c r="E170" i="84"/>
  <c r="D170" i="84"/>
  <c r="I165" i="84" a="1"/>
  <c r="I165" i="84" s="1"/>
  <c r="I164" i="84" a="1"/>
  <c r="I164" i="84" s="1"/>
  <c r="G164" i="84" a="1"/>
  <c r="J170" i="84" s="1"/>
  <c r="D164" i="84" a="1"/>
  <c r="D164" i="84" s="1"/>
  <c r="E162" i="84" a="1"/>
  <c r="E162" i="84" s="1"/>
  <c r="J189" i="84" s="1"/>
  <c r="E161" i="84" a="1"/>
  <c r="E161" i="84" s="1"/>
  <c r="D157" i="84" a="1"/>
  <c r="D157" i="84" s="1"/>
  <c r="D156" i="84" a="1"/>
  <c r="D156" i="84" s="1"/>
  <c r="N152" i="84"/>
  <c r="D152" i="84"/>
  <c r="N151" i="84"/>
  <c r="D151" i="84"/>
  <c r="N150" i="84"/>
  <c r="D150" i="84"/>
  <c r="D133" i="84"/>
  <c r="E133" i="84" s="1" a="1"/>
  <c r="E133" i="84" s="1"/>
  <c r="D132" i="84"/>
  <c r="E132" i="84" s="1" a="1"/>
  <c r="E132" i="84" s="1"/>
  <c r="D131" i="84"/>
  <c r="E131" i="84" s="1" a="1"/>
  <c r="E131" i="84" s="1"/>
  <c r="D130" i="84"/>
  <c r="I125" i="84" a="1"/>
  <c r="I125" i="84" s="1"/>
  <c r="I124" i="84" a="1"/>
  <c r="I124" i="84" s="1"/>
  <c r="I123" i="84" a="1"/>
  <c r="I123" i="84" s="1"/>
  <c r="G123" i="84" a="1"/>
  <c r="G123" i="84" s="1"/>
  <c r="D123" i="84" a="1"/>
  <c r="D123" i="84" s="1"/>
  <c r="E121" i="84" a="1"/>
  <c r="E121" i="84" s="1"/>
  <c r="I150" i="84" s="1"/>
  <c r="E120" i="84" a="1"/>
  <c r="E120" i="84" s="1"/>
  <c r="D116" i="84" a="1"/>
  <c r="D116" i="84" s="1"/>
  <c r="D115" i="84" a="1"/>
  <c r="D115" i="84" s="1"/>
  <c r="N111" i="84"/>
  <c r="D111" i="84"/>
  <c r="N110" i="84"/>
  <c r="D110" i="84"/>
  <c r="N109" i="84"/>
  <c r="D109" i="84"/>
  <c r="N108" i="84"/>
  <c r="D108" i="84"/>
  <c r="H103" i="84"/>
  <c r="G103" i="84"/>
  <c r="F103" i="84"/>
  <c r="E103" i="84"/>
  <c r="D103" i="84"/>
  <c r="H102" i="84"/>
  <c r="G102" i="84"/>
  <c r="F102" i="84"/>
  <c r="E102" i="84"/>
  <c r="D102" i="84"/>
  <c r="H101" i="84"/>
  <c r="G101" i="84"/>
  <c r="F101" i="84"/>
  <c r="E101" i="84"/>
  <c r="D101" i="84"/>
  <c r="H100" i="84"/>
  <c r="G100" i="84"/>
  <c r="F100" i="84"/>
  <c r="E100" i="84"/>
  <c r="D100" i="84"/>
  <c r="I95" i="84" a="1"/>
  <c r="I95" i="84" s="1"/>
  <c r="I94" i="84" a="1"/>
  <c r="I94" i="84" s="1"/>
  <c r="G94" i="84" a="1"/>
  <c r="I100" i="84" s="1"/>
  <c r="D94" i="84" a="1"/>
  <c r="D94" i="84" s="1"/>
  <c r="E92" i="84" a="1"/>
  <c r="E92" i="84" s="1"/>
  <c r="E91" i="84" a="1"/>
  <c r="E91" i="84" s="1"/>
  <c r="D87" i="84" a="1"/>
  <c r="D87" i="84" s="1"/>
  <c r="D86" i="84" a="1"/>
  <c r="D86" i="84" s="1"/>
  <c r="G77" i="84"/>
  <c r="F77" i="84"/>
  <c r="E77" i="84"/>
  <c r="D77" i="84"/>
  <c r="G72" i="84"/>
  <c r="F72" i="84"/>
  <c r="E72" i="84"/>
  <c r="D72" i="84"/>
  <c r="I67" i="84" a="1"/>
  <c r="I67" i="84" s="1"/>
  <c r="I66" i="84" a="1"/>
  <c r="I66" i="84" s="1"/>
  <c r="I65" i="84" a="1"/>
  <c r="I65" i="84" s="1"/>
  <c r="G65" i="84" a="1"/>
  <c r="G65" i="84" s="1"/>
  <c r="H72" i="84" s="1"/>
  <c r="D65" i="84" a="1"/>
  <c r="D65" i="84" s="1"/>
  <c r="E63" i="84" a="1"/>
  <c r="E63" i="84" s="1"/>
  <c r="E62" i="84" a="1"/>
  <c r="E62" i="84" s="1"/>
  <c r="D58" i="84" a="1"/>
  <c r="D58" i="84" s="1"/>
  <c r="D57" i="84" a="1"/>
  <c r="D57" i="84" s="1"/>
  <c r="I43" i="84" a="1"/>
  <c r="I43" i="84" s="1"/>
  <c r="I42" i="84" a="1"/>
  <c r="I42" i="84" s="1"/>
  <c r="G42" i="84" a="1"/>
  <c r="H48" i="84" s="1"/>
  <c r="D42" i="84" a="1"/>
  <c r="D42" i="84" s="1"/>
  <c r="E40" i="84" a="1"/>
  <c r="E40" i="84" s="1"/>
  <c r="E39" i="84" a="1"/>
  <c r="E39" i="84" s="1"/>
  <c r="D35" i="84" a="1"/>
  <c r="D35" i="84" s="1"/>
  <c r="D34" i="84" a="1"/>
  <c r="D34" i="84" s="1"/>
  <c r="F20" i="84"/>
  <c r="I14" i="84" a="1"/>
  <c r="I14" i="84" s="1"/>
  <c r="I13" i="84" a="1"/>
  <c r="I13" i="84" s="1"/>
  <c r="G13" i="84" a="1"/>
  <c r="R25" i="84" s="1"/>
  <c r="D13" i="84" a="1"/>
  <c r="D13" i="84" s="1"/>
  <c r="E11" i="84" a="1"/>
  <c r="E11" i="84" s="1"/>
  <c r="H30" i="84" s="1"/>
  <c r="E10" i="84" a="1"/>
  <c r="E10" i="84" s="1"/>
  <c r="D6" i="84" a="1"/>
  <c r="D6" i="84" s="1"/>
  <c r="D5" i="84" a="1"/>
  <c r="D5" i="84" s="1"/>
  <c r="P227" i="83" a="1"/>
  <c r="P227" i="83" s="1"/>
  <c r="F227" i="83" a="1"/>
  <c r="F227" i="83" s="1"/>
  <c r="N224" i="83" a="1"/>
  <c r="N224" i="83" s="1"/>
  <c r="D224" i="83" a="1"/>
  <c r="D224" i="83" s="1"/>
  <c r="O220" i="83"/>
  <c r="E220" i="83"/>
  <c r="O219" i="83"/>
  <c r="E219" i="83"/>
  <c r="O218" i="83"/>
  <c r="E218" i="83"/>
  <c r="O217" i="83"/>
  <c r="E217" i="83"/>
  <c r="O216" i="83"/>
  <c r="N216" i="83"/>
  <c r="E216" i="83"/>
  <c r="D216" i="83"/>
  <c r="O215" i="83"/>
  <c r="E215" i="83"/>
  <c r="O214" i="83"/>
  <c r="E214" i="83"/>
  <c r="O213" i="83"/>
  <c r="E213" i="83"/>
  <c r="O212" i="83"/>
  <c r="E212" i="83"/>
  <c r="O211" i="83"/>
  <c r="N211" i="83"/>
  <c r="E211" i="83"/>
  <c r="D211" i="83"/>
  <c r="O210" i="83"/>
  <c r="E210" i="83"/>
  <c r="O209" i="83"/>
  <c r="E209" i="83"/>
  <c r="O208" i="83"/>
  <c r="E208" i="83"/>
  <c r="O207" i="83"/>
  <c r="E207" i="83"/>
  <c r="O206" i="83"/>
  <c r="N206" i="83"/>
  <c r="E206" i="83"/>
  <c r="D206" i="83"/>
  <c r="N205" i="83"/>
  <c r="D205" i="83"/>
  <c r="N204" i="83"/>
  <c r="D204" i="83"/>
  <c r="N203" i="83"/>
  <c r="D203" i="83"/>
  <c r="N202" i="83"/>
  <c r="D202" i="83"/>
  <c r="G197" i="83"/>
  <c r="F197" i="83"/>
  <c r="E197" i="83"/>
  <c r="D197" i="83"/>
  <c r="G192" i="83"/>
  <c r="F192" i="83"/>
  <c r="E192" i="83"/>
  <c r="D192" i="83"/>
  <c r="I187" i="83" a="1"/>
  <c r="I187" i="83" s="1"/>
  <c r="J186" i="83" a="1"/>
  <c r="J186" i="83" s="1"/>
  <c r="I186" i="83" a="1"/>
  <c r="I186" i="83" s="1"/>
  <c r="I185" i="83" a="1"/>
  <c r="I185" i="83" s="1"/>
  <c r="G185" i="83" a="1"/>
  <c r="H197" i="83" s="1"/>
  <c r="D185" i="83" a="1"/>
  <c r="D185" i="83" s="1"/>
  <c r="E183" i="83" a="1"/>
  <c r="E183" i="83" s="1"/>
  <c r="T202" i="83" s="1"/>
  <c r="E182" i="83" a="1"/>
  <c r="E182" i="83" s="1"/>
  <c r="D178" i="83" a="1"/>
  <c r="D178" i="83" s="1"/>
  <c r="D177" i="83" a="1"/>
  <c r="D177" i="83" s="1"/>
  <c r="O173" i="83"/>
  <c r="E173" i="83"/>
  <c r="O172" i="83"/>
  <c r="E172" i="83"/>
  <c r="O171" i="83"/>
  <c r="E171" i="83"/>
  <c r="O170" i="83"/>
  <c r="E170" i="83"/>
  <c r="O169" i="83"/>
  <c r="N169" i="83"/>
  <c r="E169" i="83"/>
  <c r="D169" i="83"/>
  <c r="O168" i="83"/>
  <c r="E168" i="83"/>
  <c r="O167" i="83"/>
  <c r="E167" i="83"/>
  <c r="O166" i="83"/>
  <c r="E166" i="83"/>
  <c r="O165" i="83"/>
  <c r="E165" i="83"/>
  <c r="O164" i="83"/>
  <c r="N164" i="83"/>
  <c r="E164" i="83"/>
  <c r="D164" i="83"/>
  <c r="O163" i="83"/>
  <c r="E163" i="83"/>
  <c r="O162" i="83"/>
  <c r="E162" i="83"/>
  <c r="O161" i="83"/>
  <c r="E161" i="83"/>
  <c r="O160" i="83"/>
  <c r="E160" i="83"/>
  <c r="O159" i="83"/>
  <c r="N159" i="83"/>
  <c r="E159" i="83"/>
  <c r="D159" i="83"/>
  <c r="E154" i="83"/>
  <c r="I153" i="83"/>
  <c r="H153" i="83"/>
  <c r="G153" i="83"/>
  <c r="F153" i="83"/>
  <c r="E153" i="83"/>
  <c r="I152" i="83"/>
  <c r="H152" i="83"/>
  <c r="G152" i="83"/>
  <c r="F152" i="83"/>
  <c r="E152" i="83"/>
  <c r="I151" i="83"/>
  <c r="H151" i="83"/>
  <c r="G151" i="83"/>
  <c r="F151" i="83"/>
  <c r="E151" i="83"/>
  <c r="I150" i="83"/>
  <c r="H150" i="83"/>
  <c r="G150" i="83"/>
  <c r="F150" i="83"/>
  <c r="E150" i="83"/>
  <c r="D150" i="83"/>
  <c r="I149" i="83"/>
  <c r="E149" i="83"/>
  <c r="I148" i="83"/>
  <c r="H148" i="83"/>
  <c r="G148" i="83"/>
  <c r="F148" i="83"/>
  <c r="E148" i="83"/>
  <c r="I147" i="83"/>
  <c r="H147" i="83"/>
  <c r="G147" i="83"/>
  <c r="F147" i="83"/>
  <c r="E147" i="83"/>
  <c r="I146" i="83"/>
  <c r="H146" i="83"/>
  <c r="G146" i="83"/>
  <c r="F146" i="83"/>
  <c r="E146" i="83"/>
  <c r="I145" i="83"/>
  <c r="H145" i="83"/>
  <c r="G145" i="83"/>
  <c r="F145" i="83"/>
  <c r="E145" i="83"/>
  <c r="D145" i="83"/>
  <c r="I144" i="83"/>
  <c r="H144" i="83"/>
  <c r="G144" i="83"/>
  <c r="E144" i="83"/>
  <c r="I143" i="83"/>
  <c r="H143" i="83"/>
  <c r="G143" i="83"/>
  <c r="F143" i="83"/>
  <c r="E143" i="83"/>
  <c r="I142" i="83"/>
  <c r="H142" i="83"/>
  <c r="G142" i="83"/>
  <c r="F142" i="83"/>
  <c r="E142" i="83"/>
  <c r="I141" i="83"/>
  <c r="H141" i="83"/>
  <c r="G141" i="83"/>
  <c r="F141" i="83"/>
  <c r="E141" i="83"/>
  <c r="I140" i="83"/>
  <c r="H140" i="83"/>
  <c r="G140" i="83"/>
  <c r="F140" i="83"/>
  <c r="E140" i="83"/>
  <c r="D140" i="83"/>
  <c r="S135" i="83"/>
  <c r="I135" i="83"/>
  <c r="S133" i="83" a="1"/>
  <c r="S133" i="83" s="1"/>
  <c r="I133" i="83" a="1"/>
  <c r="I133" i="83" s="1"/>
  <c r="S132" i="83" a="1"/>
  <c r="S132" i="83" s="1"/>
  <c r="I132" i="83" a="1"/>
  <c r="I132" i="83" s="1"/>
  <c r="S131" i="83" a="1"/>
  <c r="S131" i="83" s="1"/>
  <c r="I131" i="83" a="1"/>
  <c r="I131" i="83" s="1"/>
  <c r="S130" i="83" a="1"/>
  <c r="S130" i="83" s="1"/>
  <c r="Q130" i="83" a="1"/>
  <c r="Q130" i="83" s="1"/>
  <c r="N130" i="83" a="1"/>
  <c r="N130" i="83" s="1"/>
  <c r="I130" i="83" a="1"/>
  <c r="I130" i="83" s="1"/>
  <c r="G130" i="83" a="1"/>
  <c r="G130" i="83" s="1"/>
  <c r="D130" i="83" a="1"/>
  <c r="D130" i="83" s="1"/>
  <c r="E128" i="83" a="1"/>
  <c r="E128" i="83" s="1"/>
  <c r="E127" i="83" a="1"/>
  <c r="E127" i="83" s="1"/>
  <c r="D123" i="83" a="1"/>
  <c r="D123" i="83" s="1"/>
  <c r="D122" i="83" a="1"/>
  <c r="D122" i="83" s="1"/>
  <c r="D121" i="83" a="1"/>
  <c r="D121" i="83" s="1"/>
  <c r="N117" i="83"/>
  <c r="D117" i="83"/>
  <c r="N116" i="83"/>
  <c r="D116" i="83"/>
  <c r="N115" i="83"/>
  <c r="D115" i="83"/>
  <c r="D110" i="83"/>
  <c r="E110" i="83" s="1" a="1"/>
  <c r="E110" i="83" s="1"/>
  <c r="D109" i="83"/>
  <c r="D108" i="83"/>
  <c r="E108" i="83" s="1" a="1"/>
  <c r="E108" i="83" s="1"/>
  <c r="I103" i="83" a="1"/>
  <c r="I103" i="83" s="1"/>
  <c r="I102" i="83" a="1"/>
  <c r="I102" i="83" s="1"/>
  <c r="I101" i="83" a="1"/>
  <c r="I101" i="83" s="1"/>
  <c r="G101" i="83" a="1"/>
  <c r="F108" i="83" s="1"/>
  <c r="D101" i="83" a="1"/>
  <c r="D101" i="83" s="1"/>
  <c r="E99" i="83" a="1"/>
  <c r="E99" i="83" s="1"/>
  <c r="I115" i="83" s="1"/>
  <c r="E98" i="83" a="1"/>
  <c r="E98" i="83" s="1"/>
  <c r="D94" i="83" a="1"/>
  <c r="D94" i="83" s="1"/>
  <c r="D93" i="83" a="1"/>
  <c r="D93" i="83" s="1"/>
  <c r="N89" i="83"/>
  <c r="D89" i="83"/>
  <c r="N88" i="83"/>
  <c r="D88" i="83"/>
  <c r="N87" i="83"/>
  <c r="D87" i="83"/>
  <c r="N86" i="83"/>
  <c r="D86" i="83"/>
  <c r="H63" i="83"/>
  <c r="G63" i="83"/>
  <c r="F63" i="83"/>
  <c r="E63" i="83"/>
  <c r="D63" i="83"/>
  <c r="H62" i="83"/>
  <c r="G62" i="83"/>
  <c r="F62" i="83"/>
  <c r="E62" i="83"/>
  <c r="D62" i="83"/>
  <c r="H61" i="83"/>
  <c r="G61" i="83"/>
  <c r="F61" i="83"/>
  <c r="E61" i="83"/>
  <c r="D61" i="83"/>
  <c r="H60" i="83"/>
  <c r="G60" i="83"/>
  <c r="F60" i="83"/>
  <c r="E60" i="83"/>
  <c r="D60" i="83"/>
  <c r="S55" i="83"/>
  <c r="I55" i="83"/>
  <c r="S53" i="83" a="1"/>
  <c r="S53" i="83" s="1"/>
  <c r="I53" i="83" a="1"/>
  <c r="I53" i="83" s="1"/>
  <c r="S52" i="83" a="1"/>
  <c r="S52" i="83" s="1"/>
  <c r="I52" i="83" a="1"/>
  <c r="I52" i="83" s="1"/>
  <c r="S51" i="83" a="1"/>
  <c r="S51" i="83" s="1"/>
  <c r="I51" i="83" a="1"/>
  <c r="I51" i="83" s="1"/>
  <c r="S50" i="83" a="1"/>
  <c r="S50" i="83" s="1"/>
  <c r="Q50" i="83" a="1"/>
  <c r="Q50" i="83" s="1"/>
  <c r="N50" i="83" a="1"/>
  <c r="N50" i="83" s="1"/>
  <c r="I50" i="83" a="1"/>
  <c r="I50" i="83" s="1"/>
  <c r="G50" i="83" a="1"/>
  <c r="P73" i="83" s="1"/>
  <c r="D50" i="83" a="1"/>
  <c r="D50" i="83" s="1"/>
  <c r="E48" i="83" a="1"/>
  <c r="E48" i="83" s="1"/>
  <c r="S86" i="83" s="1"/>
  <c r="E47" i="83" a="1"/>
  <c r="E47" i="83" s="1"/>
  <c r="D41" i="83" a="1"/>
  <c r="D41" i="83" s="1"/>
  <c r="D40" i="83" a="1"/>
  <c r="D40" i="83" s="1"/>
  <c r="D39" i="83" a="1"/>
  <c r="D39" i="83" s="1"/>
  <c r="F20" i="83"/>
  <c r="I15" i="83" a="1"/>
  <c r="I15" i="83" s="1"/>
  <c r="I14" i="83" a="1"/>
  <c r="I14" i="83" s="1"/>
  <c r="I13" i="83" a="1"/>
  <c r="I13" i="83" s="1"/>
  <c r="G13" i="83" a="1"/>
  <c r="H25" i="83" s="1"/>
  <c r="D13" i="83" a="1"/>
  <c r="D13" i="83" s="1"/>
  <c r="E11" i="83" a="1"/>
  <c r="E11" i="83" s="1"/>
  <c r="E10" i="83" a="1"/>
  <c r="E10" i="83" s="1"/>
  <c r="D6" i="83" a="1"/>
  <c r="D6" i="83" s="1"/>
  <c r="D5" i="83" a="1"/>
  <c r="D5" i="83" s="1"/>
  <c r="M56" i="82"/>
  <c r="F100" i="87" s="1"/>
  <c r="H56" i="82"/>
  <c r="I154" i="83" s="1"/>
  <c r="G56" i="82"/>
  <c r="H184" i="84" s="1"/>
  <c r="F56" i="82"/>
  <c r="G154" i="83" s="1"/>
  <c r="E56" i="82"/>
  <c r="F154" i="83" s="1"/>
  <c r="M55" i="82"/>
  <c r="M54" i="82"/>
  <c r="M53" i="82"/>
  <c r="M52" i="82"/>
  <c r="E51" i="82"/>
  <c r="D51" i="82"/>
  <c r="M49" i="82"/>
  <c r="F95" i="87" s="1"/>
  <c r="H49" i="82"/>
  <c r="I179" i="84" s="1"/>
  <c r="G49" i="82"/>
  <c r="H149" i="83" s="1"/>
  <c r="F49" i="82"/>
  <c r="G149" i="83" s="1"/>
  <c r="E49" i="82"/>
  <c r="F149" i="83" s="1"/>
  <c r="M48" i="82"/>
  <c r="F94" i="87" s="1"/>
  <c r="M47" i="82"/>
  <c r="F93" i="87" s="1"/>
  <c r="M46" i="82"/>
  <c r="M45" i="82"/>
  <c r="E44" i="82"/>
  <c r="M42" i="82"/>
  <c r="H42" i="82"/>
  <c r="G42" i="82"/>
  <c r="F42" i="82"/>
  <c r="G174" i="84" s="1"/>
  <c r="E42" i="82"/>
  <c r="F144" i="83" s="1"/>
  <c r="M41" i="82"/>
  <c r="F89" i="87" s="1"/>
  <c r="M40" i="82"/>
  <c r="F88" i="87" s="1"/>
  <c r="M39" i="82"/>
  <c r="F87" i="87" s="1"/>
  <c r="M38" i="82"/>
  <c r="E37" i="82"/>
  <c r="H34" i="82"/>
  <c r="G34" i="82"/>
  <c r="F34" i="82"/>
  <c r="E34" i="82"/>
  <c r="D44" i="82"/>
  <c r="D37" i="82"/>
  <c r="D58" i="78"/>
  <c r="D38" i="78"/>
  <c r="D37" i="78"/>
  <c r="D36" i="78"/>
  <c r="D35" i="78"/>
  <c r="D34" i="78"/>
  <c r="D33" i="78"/>
  <c r="D32" i="78"/>
  <c r="D31" i="78"/>
  <c r="D13" i="78"/>
  <c r="D12" i="78"/>
  <c r="J13" i="78"/>
  <c r="D9" i="78"/>
  <c r="J9" i="78"/>
  <c r="D8" i="78"/>
  <c r="J35" i="78"/>
  <c r="E83" i="106"/>
  <c r="E7" i="117"/>
  <c r="O42" i="117"/>
  <c r="E49" i="106" a="1"/>
  <c r="E7" i="109" a="1"/>
  <c r="E7" i="90" a="1"/>
  <c r="E7" i="101" a="1"/>
  <c r="E25" i="93"/>
  <c r="E7" i="96" a="1"/>
  <c r="E79" i="117"/>
  <c r="E7" i="86" a="1"/>
  <c r="E158" i="84" a="1"/>
  <c r="E42" i="117"/>
  <c r="E36" i="84" a="1"/>
  <c r="E43" i="102" a="1"/>
  <c r="E90" i="105" a="1"/>
  <c r="E83" i="85"/>
  <c r="E189" i="116" a="1"/>
  <c r="E179" i="83" a="1"/>
  <c r="E61" i="117" a="1"/>
  <c r="E400" i="116" a="1"/>
  <c r="E555" i="116"/>
  <c r="E7" i="83" a="1"/>
  <c r="E576" i="116" a="1"/>
  <c r="E338" i="116" a="1"/>
  <c r="E7" i="87" a="1"/>
  <c r="E127" i="87" a="1"/>
  <c r="L7" i="96" a="1"/>
  <c r="E209" i="84" a="1"/>
  <c r="E7" i="84" a="1"/>
  <c r="E218" i="116" a="1"/>
  <c r="E523" i="116"/>
  <c r="E32" i="89"/>
  <c r="E433" i="116" a="1"/>
  <c r="E42" i="86" a="1"/>
  <c r="O61" i="117" a="1"/>
  <c r="E7" i="89" a="1"/>
  <c r="E370" i="116" a="1"/>
  <c r="E59" i="84" a="1"/>
  <c r="N85" i="101" a="1"/>
  <c r="E101" i="116" a="1"/>
  <c r="E44" i="83" a="1"/>
  <c r="O26" i="117" a="1"/>
  <c r="O79" i="117"/>
  <c r="E7" i="104" a="1"/>
  <c r="E7" i="85" a="1"/>
  <c r="E43" i="105" a="1"/>
  <c r="E7" i="97" a="1"/>
  <c r="E166" i="116" a="1"/>
  <c r="E305" i="116" a="1"/>
  <c r="E7" i="102" a="1"/>
  <c r="O7" i="117"/>
  <c r="E273" i="116" a="1"/>
  <c r="E203" i="116" a="1"/>
  <c r="E88" i="84" a="1"/>
  <c r="L8" i="97" a="1"/>
  <c r="E118" i="105" a="1"/>
  <c r="E95" i="83" a="1"/>
  <c r="E42" i="101" a="1"/>
  <c r="E38" i="103" a="1"/>
  <c r="E26" i="117" a="1"/>
  <c r="E117" i="84" a="1"/>
  <c r="E7" i="103" a="1"/>
  <c r="E124" i="83" a="1"/>
  <c r="E99" i="109" a="1"/>
  <c r="E7" i="88" a="1"/>
  <c r="E7" i="106" a="1"/>
  <c r="E609" i="116" a="1"/>
  <c r="E8" i="93"/>
  <c r="E538" i="116"/>
  <c r="E7" i="116" a="1"/>
  <c r="E37" i="90"/>
  <c r="E7" i="105" a="1"/>
  <c r="M34" i="96" l="1" a="1"/>
  <c r="M34" i="96" s="1"/>
  <c r="L34" i="96" a="1"/>
  <c r="L34" i="96" s="1"/>
  <c r="M35" i="97" a="1"/>
  <c r="M35" i="97" s="1"/>
  <c r="M25" i="96" a="1"/>
  <c r="M25" i="96" s="1"/>
  <c r="L25" i="96" a="1"/>
  <c r="L25" i="96" s="1"/>
  <c r="M28" i="96" a="1"/>
  <c r="M28" i="96" s="1"/>
  <c r="L28" i="96" a="1"/>
  <c r="L28" i="96" s="1"/>
  <c r="D7" i="113"/>
  <c r="D177" i="116" s="1"/>
  <c r="F177" i="116" s="1" a="1"/>
  <c r="F177" i="116" s="1"/>
  <c r="G177" i="116" s="1" a="1"/>
  <c r="G177" i="116" s="1"/>
  <c r="D179" i="116"/>
  <c r="F179" i="116" s="1" a="1"/>
  <c r="F179" i="116" s="1"/>
  <c r="G179" i="116" s="1" a="1"/>
  <c r="G179" i="116" s="1"/>
  <c r="D178" i="116"/>
  <c r="F178" i="116" s="1" a="1"/>
  <c r="F178" i="116" s="1"/>
  <c r="L29" i="97" a="1"/>
  <c r="L29" i="97" s="1"/>
  <c r="M29" i="97" a="1"/>
  <c r="M29" i="97" s="1"/>
  <c r="M26" i="96" a="1"/>
  <c r="M26" i="96" s="1"/>
  <c r="M29" i="96" a="1"/>
  <c r="M29" i="96" s="1"/>
  <c r="L29" i="96" a="1"/>
  <c r="L29" i="96" s="1"/>
  <c r="L35" i="96" a="1"/>
  <c r="L35" i="96" s="1"/>
  <c r="M35" i="96" a="1"/>
  <c r="M35" i="96" s="1"/>
  <c r="M38" i="96" a="1"/>
  <c r="M38" i="96" s="1"/>
  <c r="L38" i="96" a="1"/>
  <c r="L38" i="96" s="1"/>
  <c r="Q38" i="96" s="1" a="1"/>
  <c r="Q38" i="96" s="1"/>
  <c r="D285" i="116"/>
  <c r="F285" i="116" s="1" a="1"/>
  <c r="F285" i="116" s="1"/>
  <c r="F295" i="116" a="1"/>
  <c r="F295" i="116" s="1"/>
  <c r="F294" i="116" a="1"/>
  <c r="F294" i="116" s="1"/>
  <c r="F293" i="116" a="1"/>
  <c r="F293" i="116" s="1"/>
  <c r="F292" i="116" a="1"/>
  <c r="F292" i="116" s="1"/>
  <c r="F291" i="116" a="1"/>
  <c r="F291" i="116" s="1"/>
  <c r="F287" i="116" a="1"/>
  <c r="F287" i="116" s="1"/>
  <c r="I287" i="116" s="1" a="1"/>
  <c r="I287" i="116" s="1"/>
  <c r="F286" i="116" a="1"/>
  <c r="F286" i="116" s="1"/>
  <c r="F296" i="116" a="1"/>
  <c r="F296" i="116" s="1"/>
  <c r="F290" i="116" a="1"/>
  <c r="F290" i="116" s="1"/>
  <c r="F289" i="116" a="1"/>
  <c r="F289" i="116" s="1"/>
  <c r="F288" i="116" a="1"/>
  <c r="F288" i="116" s="1"/>
  <c r="D20" i="83"/>
  <c r="D20" i="84"/>
  <c r="D30" i="84" s="1" a="1"/>
  <c r="D30" i="84" s="1"/>
  <c r="D53" i="84" s="1" a="1"/>
  <c r="D53" i="84" s="1"/>
  <c r="D82" i="84" s="1" a="1"/>
  <c r="D82" i="84" s="1"/>
  <c r="E109" i="84" s="1" a="1"/>
  <c r="E109" i="84" s="1"/>
  <c r="K29" i="97"/>
  <c r="J29" i="97"/>
  <c r="H29" i="97"/>
  <c r="I29" i="97"/>
  <c r="G29" i="97"/>
  <c r="M37" i="96" a="1"/>
  <c r="M37" i="96" s="1"/>
  <c r="L37" i="96" a="1"/>
  <c r="L37" i="96" s="1"/>
  <c r="M26" i="97" a="1"/>
  <c r="M26" i="97" s="1"/>
  <c r="M30" i="97" a="1"/>
  <c r="M30" i="97" s="1"/>
  <c r="G20" i="83"/>
  <c r="G20" i="84"/>
  <c r="M38" i="97" a="1"/>
  <c r="M38" i="97" s="1"/>
  <c r="G27" i="97"/>
  <c r="H27" i="97"/>
  <c r="K27" i="97"/>
  <c r="J27" i="97"/>
  <c r="I27" i="97"/>
  <c r="L36" i="97" a="1"/>
  <c r="L36" i="97" s="1"/>
  <c r="M36" i="97" a="1"/>
  <c r="M36" i="97" s="1"/>
  <c r="E20" i="83"/>
  <c r="E20" i="84"/>
  <c r="J40" i="97"/>
  <c r="I40" i="97"/>
  <c r="G40" i="97"/>
  <c r="H40" i="97"/>
  <c r="M33" i="97" a="1"/>
  <c r="M33" i="97" s="1"/>
  <c r="D12" i="113"/>
  <c r="D137" i="116" s="1"/>
  <c r="F137" i="116" s="1" a="1"/>
  <c r="F137" i="116" s="1"/>
  <c r="D139" i="116"/>
  <c r="F139" i="116" s="1" a="1"/>
  <c r="F139" i="116" s="1"/>
  <c r="D140" i="116"/>
  <c r="F140" i="116" s="1" a="1"/>
  <c r="F140" i="116" s="1"/>
  <c r="D138" i="116"/>
  <c r="F138" i="116" s="1" a="1"/>
  <c r="F138" i="116" s="1"/>
  <c r="G138" i="116" s="1" a="1"/>
  <c r="G138" i="116" s="1"/>
  <c r="M37" i="97" a="1"/>
  <c r="M37" i="97" s="1"/>
  <c r="J39" i="97"/>
  <c r="I39" i="97"/>
  <c r="G39" i="97"/>
  <c r="H39" i="97"/>
  <c r="M39" i="97" a="1"/>
  <c r="M39" i="97" s="1"/>
  <c r="M25" i="97" a="1"/>
  <c r="M25" i="97" s="1"/>
  <c r="L25" i="97" a="1"/>
  <c r="L25" i="97" s="1"/>
  <c r="M32" i="96" a="1"/>
  <c r="M32" i="96" s="1"/>
  <c r="L32" i="96" a="1"/>
  <c r="L32" i="96" s="1"/>
  <c r="J26" i="97"/>
  <c r="I26" i="97"/>
  <c r="G26" i="97"/>
  <c r="K26" i="97"/>
  <c r="H26" i="97"/>
  <c r="M32" i="97" a="1"/>
  <c r="M32" i="97" s="1"/>
  <c r="M40" i="97" a="1"/>
  <c r="M40" i="97" s="1"/>
  <c r="L40" i="97" a="1"/>
  <c r="L40" i="97" s="1"/>
  <c r="F179" i="84"/>
  <c r="G179" i="84"/>
  <c r="K25" i="97"/>
  <c r="J25" i="97"/>
  <c r="E72" i="106"/>
  <c r="E109" i="105"/>
  <c r="F174" i="84"/>
  <c r="I23" i="116" a="1"/>
  <c r="I23" i="116" s="1"/>
  <c r="E76" i="116" a="1"/>
  <c r="E76" i="116" s="1"/>
  <c r="E58" i="116" a="1"/>
  <c r="E58" i="116" s="1"/>
  <c r="E39" i="116" a="1"/>
  <c r="E39" i="116" s="1"/>
  <c r="J44" i="116" s="1" a="1"/>
  <c r="J44" i="116" s="1"/>
  <c r="I29" i="116" a="1"/>
  <c r="I29" i="116" s="1"/>
  <c r="I28" i="116" a="1"/>
  <c r="I28" i="116" s="1"/>
  <c r="J28" i="116" s="1" a="1"/>
  <c r="J28" i="116" s="1"/>
  <c r="F496" i="116" a="1"/>
  <c r="F496" i="116" s="1"/>
  <c r="F485" i="116" a="1"/>
  <c r="F485" i="116" s="1"/>
  <c r="F482" i="116" a="1"/>
  <c r="F482" i="116" s="1"/>
  <c r="F481" i="116" a="1"/>
  <c r="F481" i="116" s="1"/>
  <c r="H17" i="82"/>
  <c r="G25" i="83" s="1"/>
  <c r="G23" i="82"/>
  <c r="P25" i="84" s="1"/>
  <c r="G15" i="111" a="1"/>
  <c r="G15" i="111" s="1"/>
  <c r="D47" i="113"/>
  <c r="D494" i="116" s="1"/>
  <c r="F494" i="116" s="1" a="1"/>
  <c r="F494" i="116" s="1"/>
  <c r="E142" i="84" a="1"/>
  <c r="E142" i="84" s="1"/>
  <c r="E48" i="85" a="1"/>
  <c r="E48" i="85" s="1"/>
  <c r="E41" i="87" a="1"/>
  <c r="E41" i="87" s="1"/>
  <c r="E49" i="87" a="1"/>
  <c r="E49" i="87" s="1"/>
  <c r="E61" i="87" a="1"/>
  <c r="E61" i="87" s="1"/>
  <c r="H25" i="96" a="1"/>
  <c r="H25" i="96" s="1"/>
  <c r="J27" i="96" a="1"/>
  <c r="J27" i="96" s="1"/>
  <c r="M33" i="96" a="1"/>
  <c r="M33" i="96" s="1"/>
  <c r="E38" i="96"/>
  <c r="J38" i="96" s="1" a="1"/>
  <c r="J38" i="96" s="1"/>
  <c r="I32" i="116" a="1"/>
  <c r="I32" i="116" s="1"/>
  <c r="P125" i="116" a="1"/>
  <c r="P125" i="116" s="1"/>
  <c r="G386" i="116" a="1"/>
  <c r="G386" i="116" s="1"/>
  <c r="H386" i="116" s="1" a="1"/>
  <c r="H386" i="116" s="1"/>
  <c r="G471" i="116" a="1"/>
  <c r="G471" i="116" s="1"/>
  <c r="S12" i="100" a="1"/>
  <c r="S12" i="100" s="1"/>
  <c r="M16" i="100" a="1"/>
  <c r="M16" i="100" s="1"/>
  <c r="U19" i="100" a="1"/>
  <c r="U19" i="100" s="1"/>
  <c r="E108" i="105"/>
  <c r="F108" i="105" s="1" a="1"/>
  <c r="F108" i="105" s="1"/>
  <c r="E140" i="105" s="1"/>
  <c r="L36" i="96" a="1"/>
  <c r="L36" i="96" s="1"/>
  <c r="I184" i="84"/>
  <c r="F68" i="83"/>
  <c r="E68" i="83"/>
  <c r="I15" i="93" a="1"/>
  <c r="I15" i="93" s="1"/>
  <c r="H154" i="83"/>
  <c r="H179" i="84"/>
  <c r="E18" i="82"/>
  <c r="D25" i="84" s="1"/>
  <c r="H23" i="82"/>
  <c r="Q25" i="84" s="1"/>
  <c r="G16" i="111" a="1"/>
  <c r="G16" i="111" s="1"/>
  <c r="K27" i="96" a="1"/>
  <c r="K27" i="96" s="1"/>
  <c r="G25" i="97"/>
  <c r="E30" i="97"/>
  <c r="X126" i="116" a="1"/>
  <c r="X126" i="116" s="1"/>
  <c r="G388" i="116" a="1"/>
  <c r="G388" i="116" s="1"/>
  <c r="G472" i="116" a="1"/>
  <c r="G472" i="116" s="1"/>
  <c r="I174" i="118"/>
  <c r="P16" i="100" a="1"/>
  <c r="P16" i="100" s="1"/>
  <c r="K20" i="100" a="1"/>
  <c r="K20" i="100" s="1"/>
  <c r="E111" i="105"/>
  <c r="F111" i="105" a="1"/>
  <c r="F111" i="105" s="1"/>
  <c r="E143" i="105" s="1"/>
  <c r="E130" i="84" a="1"/>
  <c r="E130" i="84" s="1"/>
  <c r="I16" i="100"/>
  <c r="E75" i="106"/>
  <c r="E112" i="105"/>
  <c r="F18" i="82"/>
  <c r="E25" i="84" s="1"/>
  <c r="E54" i="87" a="1"/>
  <c r="E54" i="87" s="1"/>
  <c r="L27" i="96" a="1"/>
  <c r="L27" i="96" s="1"/>
  <c r="G32" i="96" a="1"/>
  <c r="G32" i="96" s="1"/>
  <c r="H36" i="96" a="1"/>
  <c r="H36" i="96" s="1"/>
  <c r="H25" i="97"/>
  <c r="E35" i="97"/>
  <c r="I37" i="97"/>
  <c r="J138" i="109" a="1"/>
  <c r="J138" i="109" s="1"/>
  <c r="P127" i="116" a="1"/>
  <c r="P127" i="116" s="1"/>
  <c r="F483" i="116" a="1"/>
  <c r="F483" i="116" s="1"/>
  <c r="G483" i="116" s="1" a="1"/>
  <c r="G483" i="116" s="1"/>
  <c r="L13" i="100" a="1"/>
  <c r="L13" i="100" s="1"/>
  <c r="S16" i="100" a="1"/>
  <c r="S16" i="100" s="1"/>
  <c r="N20" i="100" a="1"/>
  <c r="N20" i="100" s="1"/>
  <c r="E37" i="96"/>
  <c r="J35" i="96" a="1"/>
  <c r="J35" i="96" s="1"/>
  <c r="K32" i="96" a="1"/>
  <c r="K32" i="96" s="1"/>
  <c r="J29" i="96" a="1"/>
  <c r="J29" i="96" s="1"/>
  <c r="I26" i="96" a="1"/>
  <c r="I26" i="96" s="1"/>
  <c r="I38" i="96" a="1"/>
  <c r="I38" i="96" s="1"/>
  <c r="I35" i="96" a="1"/>
  <c r="I35" i="96" s="1"/>
  <c r="J32" i="96" a="1"/>
  <c r="J32" i="96" s="1"/>
  <c r="I29" i="96" a="1"/>
  <c r="I29" i="96" s="1"/>
  <c r="H26" i="96" a="1"/>
  <c r="H26" i="96" s="1"/>
  <c r="G38" i="96" a="1"/>
  <c r="G38" i="96" s="1"/>
  <c r="G39" i="96" a="1"/>
  <c r="G39" i="96" s="1"/>
  <c r="K37" i="96" a="1"/>
  <c r="K37" i="96" s="1"/>
  <c r="G36" i="96" a="1"/>
  <c r="G36" i="96" s="1"/>
  <c r="K34" i="96" a="1"/>
  <c r="K34" i="96" s="1"/>
  <c r="G33" i="96" a="1"/>
  <c r="G33" i="96" s="1"/>
  <c r="G30" i="96" a="1"/>
  <c r="G30" i="96" s="1"/>
  <c r="K28" i="96" a="1"/>
  <c r="K28" i="96" s="1"/>
  <c r="J37" i="96" a="1"/>
  <c r="J37" i="96" s="1"/>
  <c r="J34" i="96" a="1"/>
  <c r="J34" i="96" s="1"/>
  <c r="K31" i="96" a="1"/>
  <c r="K31" i="96" s="1"/>
  <c r="J28" i="96" a="1"/>
  <c r="J28" i="96" s="1"/>
  <c r="I25" i="96" a="1"/>
  <c r="I25" i="96" s="1"/>
  <c r="P33" i="100"/>
  <c r="D60" i="101" a="1"/>
  <c r="D60" i="101" s="1"/>
  <c r="P32" i="100"/>
  <c r="P31" i="100"/>
  <c r="D19" i="105" a="1"/>
  <c r="P30" i="100"/>
  <c r="D58" i="102" a="1"/>
  <c r="D58" i="102" s="1"/>
  <c r="P29" i="100"/>
  <c r="D23" i="106" a="1"/>
  <c r="D23" i="106" s="1"/>
  <c r="D59" i="105" a="1"/>
  <c r="D59" i="105" s="1"/>
  <c r="P28" i="100"/>
  <c r="P27" i="100"/>
  <c r="P25" i="100"/>
  <c r="D19" i="102" a="1"/>
  <c r="E144" i="84" a="1"/>
  <c r="E144" i="84" s="1"/>
  <c r="H30" i="96" a="1"/>
  <c r="H30" i="96" s="1"/>
  <c r="H32" i="96" a="1"/>
  <c r="H32" i="96" s="1"/>
  <c r="G34" i="96" a="1"/>
  <c r="G34" i="96" s="1"/>
  <c r="I36" i="96" a="1"/>
  <c r="I36" i="96" s="1"/>
  <c r="K38" i="96" a="1"/>
  <c r="K38" i="96" s="1"/>
  <c r="I25" i="97"/>
  <c r="J37" i="97"/>
  <c r="T127" i="116" a="1"/>
  <c r="T127" i="116" s="1"/>
  <c r="F484" i="116" a="1"/>
  <c r="F484" i="116" s="1"/>
  <c r="I484" i="116" s="1" a="1"/>
  <c r="I484" i="116" s="1"/>
  <c r="I176" i="118"/>
  <c r="O13" i="100" a="1"/>
  <c r="O13" i="100" s="1"/>
  <c r="Z236" i="116" s="1" a="1"/>
  <c r="Z236" i="116" s="1"/>
  <c r="H17" i="100"/>
  <c r="Q20" i="100" a="1"/>
  <c r="Q20" i="100" s="1"/>
  <c r="J134" i="109" a="1"/>
  <c r="J134" i="109" s="1"/>
  <c r="D59" i="109" a="1"/>
  <c r="J144" i="109" a="1"/>
  <c r="J144" i="109" s="1"/>
  <c r="J124" i="109" a="1"/>
  <c r="J124" i="109" s="1"/>
  <c r="D116" i="109" a="1"/>
  <c r="D116" i="109" s="1"/>
  <c r="E26" i="96"/>
  <c r="G28" i="96" a="1"/>
  <c r="G28" i="96" s="1"/>
  <c r="I30" i="96" a="1"/>
  <c r="I30" i="96" s="1"/>
  <c r="I32" i="96" a="1"/>
  <c r="I32" i="96" s="1"/>
  <c r="H34" i="96" a="1"/>
  <c r="H34" i="96" s="1"/>
  <c r="J36" i="96" a="1"/>
  <c r="J36" i="96" s="1"/>
  <c r="G28" i="97"/>
  <c r="J125" i="109" a="1"/>
  <c r="J125" i="109" s="1"/>
  <c r="P128" i="116" a="1"/>
  <c r="P128" i="116" s="1"/>
  <c r="O252" i="116"/>
  <c r="E445" i="116"/>
  <c r="G445" i="116" s="1" a="1"/>
  <c r="G445" i="116" s="1"/>
  <c r="H445" i="116" s="1" a="1"/>
  <c r="H445" i="116" s="1"/>
  <c r="G449" i="116" a="1"/>
  <c r="G449" i="116" s="1"/>
  <c r="G448" i="116" a="1"/>
  <c r="G448" i="116" s="1"/>
  <c r="G447" i="116" a="1"/>
  <c r="G447" i="116" s="1"/>
  <c r="H447" i="116" s="1" a="1"/>
  <c r="H447" i="116" s="1"/>
  <c r="G446" i="116" a="1"/>
  <c r="G446" i="116" s="1"/>
  <c r="G454" i="116" a="1"/>
  <c r="G454" i="116" s="1"/>
  <c r="G451" i="116" a="1"/>
  <c r="G451" i="116" s="1"/>
  <c r="G183" i="118"/>
  <c r="R13" i="100" a="1"/>
  <c r="R13" i="100" s="1"/>
  <c r="L17" i="100" a="1"/>
  <c r="L17" i="100" s="1"/>
  <c r="I14" i="88"/>
  <c r="G177" i="118"/>
  <c r="G176" i="118"/>
  <c r="G174" i="118"/>
  <c r="S255" i="116" s="1" a="1"/>
  <c r="S255" i="116" s="1"/>
  <c r="T21" i="100" a="1"/>
  <c r="T21" i="100" s="1"/>
  <c r="Y20" i="100"/>
  <c r="J20" i="100" a="1"/>
  <c r="J20" i="100" s="1"/>
  <c r="N19" i="100" a="1"/>
  <c r="N19" i="100" s="1"/>
  <c r="R18" i="100" a="1"/>
  <c r="R18" i="100" s="1"/>
  <c r="F17" i="100"/>
  <c r="L16" i="100" a="1"/>
  <c r="L16" i="100" s="1"/>
  <c r="P15" i="100" a="1"/>
  <c r="P15" i="100" s="1"/>
  <c r="Z13" i="100"/>
  <c r="K13" i="100" a="1"/>
  <c r="K13" i="100" s="1"/>
  <c r="R236" i="116" s="1" a="1"/>
  <c r="R236" i="116" s="1"/>
  <c r="O12" i="100" a="1"/>
  <c r="O12" i="100" s="1"/>
  <c r="S21" i="100" a="1"/>
  <c r="S21" i="100" s="1"/>
  <c r="W20" i="100" a="1"/>
  <c r="W20" i="100" s="1"/>
  <c r="H20" i="100"/>
  <c r="M19" i="100" a="1"/>
  <c r="M19" i="100" s="1"/>
  <c r="Q18" i="100" a="1"/>
  <c r="Q18" i="100" s="1"/>
  <c r="U17" i="100" a="1"/>
  <c r="U17" i="100" s="1"/>
  <c r="Z16" i="100"/>
  <c r="K16" i="100" a="1"/>
  <c r="K16" i="100" s="1"/>
  <c r="O15" i="100" a="1"/>
  <c r="O15" i="100" s="1"/>
  <c r="T14" i="100" a="1"/>
  <c r="T14" i="100" s="1"/>
  <c r="Y13" i="100"/>
  <c r="J13" i="100" a="1"/>
  <c r="J13" i="100" s="1"/>
  <c r="N12" i="100" a="1"/>
  <c r="N12" i="100" s="1"/>
  <c r="Y236" i="116" s="1" a="1"/>
  <c r="R21" i="100" a="1"/>
  <c r="R21" i="100" s="1"/>
  <c r="F20" i="100"/>
  <c r="L19" i="100" a="1"/>
  <c r="L19" i="100" s="1"/>
  <c r="P18" i="100" a="1"/>
  <c r="P18" i="100" s="1"/>
  <c r="T17" i="100" a="1"/>
  <c r="T17" i="100" s="1"/>
  <c r="Y16" i="100"/>
  <c r="J16" i="100" a="1"/>
  <c r="J16" i="100" s="1"/>
  <c r="N15" i="100" a="1"/>
  <c r="N15" i="100" s="1"/>
  <c r="S14" i="100" a="1"/>
  <c r="S14" i="100" s="1"/>
  <c r="W13" i="100" a="1"/>
  <c r="W13" i="100" s="1"/>
  <c r="H13" i="100"/>
  <c r="M12" i="100" a="1"/>
  <c r="M12" i="100" s="1"/>
  <c r="Q21" i="100" a="1"/>
  <c r="Q21" i="100" s="1"/>
  <c r="U20" i="100" a="1"/>
  <c r="U20" i="100" s="1"/>
  <c r="Z19" i="100"/>
  <c r="K19" i="100" a="1"/>
  <c r="K19" i="100" s="1"/>
  <c r="O18" i="100" a="1"/>
  <c r="O18" i="100" s="1"/>
  <c r="S17" i="100" a="1"/>
  <c r="S17" i="100" s="1"/>
  <c r="W16" i="100" a="1"/>
  <c r="W16" i="100" s="1"/>
  <c r="H16" i="100"/>
  <c r="M15" i="100" a="1"/>
  <c r="M15" i="100" s="1"/>
  <c r="R14" i="100" a="1"/>
  <c r="R14" i="100" s="1"/>
  <c r="F13" i="100"/>
  <c r="L12" i="100" a="1"/>
  <c r="L12" i="100" s="1"/>
  <c r="P21" i="100" a="1"/>
  <c r="P21" i="100" s="1"/>
  <c r="T20" i="100" a="1"/>
  <c r="T20" i="100" s="1"/>
  <c r="Y19" i="100"/>
  <c r="J19" i="100" a="1"/>
  <c r="J19" i="100" s="1"/>
  <c r="V19" i="100" s="1"/>
  <c r="X19" i="100" s="1"/>
  <c r="N18" i="100" a="1"/>
  <c r="N18" i="100" s="1"/>
  <c r="R17" i="100" a="1"/>
  <c r="R17" i="100" s="1"/>
  <c r="F16" i="100"/>
  <c r="L15" i="100" a="1"/>
  <c r="L15" i="100" s="1"/>
  <c r="Q14" i="100" a="1"/>
  <c r="Q14" i="100" s="1"/>
  <c r="U13" i="100" a="1"/>
  <c r="U13" i="100" s="1"/>
  <c r="Z12" i="100"/>
  <c r="K12" i="100" a="1"/>
  <c r="K12" i="100" s="1"/>
  <c r="O21" i="100" a="1"/>
  <c r="O21" i="100" s="1"/>
  <c r="S20" i="100" a="1"/>
  <c r="S20" i="100" s="1"/>
  <c r="W19" i="100" a="1"/>
  <c r="W19" i="100" s="1"/>
  <c r="H19" i="100"/>
  <c r="M18" i="100" a="1"/>
  <c r="M18" i="100" s="1"/>
  <c r="Q17" i="100" a="1"/>
  <c r="Q17" i="100" s="1"/>
  <c r="U16" i="100" a="1"/>
  <c r="U16" i="100" s="1"/>
  <c r="Z15" i="100"/>
  <c r="K15" i="100" a="1"/>
  <c r="K15" i="100" s="1"/>
  <c r="P14" i="100" a="1"/>
  <c r="P14" i="100" s="1"/>
  <c r="T13" i="100" a="1"/>
  <c r="T13" i="100" s="1"/>
  <c r="Y12" i="100"/>
  <c r="J12" i="100" a="1"/>
  <c r="J12" i="100" s="1"/>
  <c r="N21" i="100" a="1"/>
  <c r="N21" i="100" s="1"/>
  <c r="R20" i="100" a="1"/>
  <c r="R20" i="100" s="1"/>
  <c r="F19" i="100"/>
  <c r="L18" i="100" a="1"/>
  <c r="L18" i="100" s="1"/>
  <c r="P17" i="100" a="1"/>
  <c r="P17" i="100" s="1"/>
  <c r="T16" i="100" a="1"/>
  <c r="T16" i="100" s="1"/>
  <c r="Y15" i="100"/>
  <c r="J15" i="100" a="1"/>
  <c r="J15" i="100" s="1"/>
  <c r="O14" i="100" a="1"/>
  <c r="O14" i="100" s="1"/>
  <c r="S13" i="100" a="1"/>
  <c r="S13" i="100" s="1"/>
  <c r="AH236" i="116" s="1" a="1"/>
  <c r="AH236" i="116" s="1"/>
  <c r="W12" i="100" a="1"/>
  <c r="W12" i="100" s="1"/>
  <c r="X12" i="100" s="1"/>
  <c r="H12" i="100"/>
  <c r="L21" i="100" a="1"/>
  <c r="L21" i="100" s="1"/>
  <c r="P20" i="100" a="1"/>
  <c r="P20" i="100" s="1"/>
  <c r="T19" i="100" a="1"/>
  <c r="T19" i="100" s="1"/>
  <c r="Y18" i="100"/>
  <c r="J18" i="100" a="1"/>
  <c r="J18" i="100" s="1"/>
  <c r="N17" i="100" a="1"/>
  <c r="N17" i="100" s="1"/>
  <c r="R16" i="100" a="1"/>
  <c r="R16" i="100" s="1"/>
  <c r="F15" i="100"/>
  <c r="M14" i="100" a="1"/>
  <c r="M14" i="100" s="1"/>
  <c r="V236" i="116" s="1" a="1"/>
  <c r="V236" i="116" s="1"/>
  <c r="Q13" i="100" a="1"/>
  <c r="Q13" i="100" s="1"/>
  <c r="U12" i="100" a="1"/>
  <c r="U12" i="100" s="1"/>
  <c r="Z21" i="100"/>
  <c r="K21" i="100" a="1"/>
  <c r="K21" i="100" s="1"/>
  <c r="O20" i="100" a="1"/>
  <c r="O20" i="100" s="1"/>
  <c r="S19" i="100" a="1"/>
  <c r="S19" i="100" s="1"/>
  <c r="W18" i="100" a="1"/>
  <c r="W18" i="100" s="1"/>
  <c r="H18" i="100"/>
  <c r="M17" i="100" a="1"/>
  <c r="M17" i="100" s="1"/>
  <c r="Q16" i="100" a="1"/>
  <c r="Q16" i="100" s="1"/>
  <c r="U15" i="100" a="1"/>
  <c r="U15" i="100" s="1"/>
  <c r="Z14" i="100"/>
  <c r="L14" i="100" a="1"/>
  <c r="L14" i="100" s="1"/>
  <c r="P13" i="100" a="1"/>
  <c r="P13" i="100" s="1"/>
  <c r="T12" i="100" a="1"/>
  <c r="T12" i="100" s="1"/>
  <c r="W21" i="100" a="1"/>
  <c r="W21" i="100" s="1"/>
  <c r="H21" i="100"/>
  <c r="M20" i="100" a="1"/>
  <c r="M20" i="100" s="1"/>
  <c r="Q19" i="100" a="1"/>
  <c r="Q19" i="100" s="1"/>
  <c r="U18" i="100" a="1"/>
  <c r="U18" i="100" s="1"/>
  <c r="Z17" i="100"/>
  <c r="K17" i="100" a="1"/>
  <c r="K17" i="100" s="1"/>
  <c r="O16" i="100" a="1"/>
  <c r="O16" i="100" s="1"/>
  <c r="S15" i="100" a="1"/>
  <c r="S15" i="100" s="1"/>
  <c r="W14" i="100" a="1"/>
  <c r="W14" i="100" s="1"/>
  <c r="J14" i="100" a="1"/>
  <c r="J14" i="100" s="1"/>
  <c r="N13" i="100" a="1"/>
  <c r="N13" i="100" s="1"/>
  <c r="F21" i="100"/>
  <c r="L20" i="100" a="1"/>
  <c r="L20" i="100" s="1"/>
  <c r="P19" i="100" a="1"/>
  <c r="P19" i="100" s="1"/>
  <c r="T18" i="100" a="1"/>
  <c r="T18" i="100" s="1"/>
  <c r="Y17" i="100"/>
  <c r="J17" i="100" a="1"/>
  <c r="J17" i="100" s="1"/>
  <c r="N16" i="100" a="1"/>
  <c r="N16" i="100" s="1"/>
  <c r="R15" i="100" a="1"/>
  <c r="R15" i="100" s="1"/>
  <c r="H14" i="100"/>
  <c r="I14" i="100" s="1"/>
  <c r="M13" i="100" a="1"/>
  <c r="M13" i="100" s="1"/>
  <c r="Q12" i="100" a="1"/>
  <c r="Q12" i="100" s="1"/>
  <c r="I17" i="110"/>
  <c r="E116" i="109" a="1"/>
  <c r="E116" i="109" s="1"/>
  <c r="O35" i="117" a="1"/>
  <c r="O35" i="117" s="1"/>
  <c r="S48" i="117" s="1"/>
  <c r="E315" i="116" a="1"/>
  <c r="E315" i="116" s="1"/>
  <c r="E21" i="82"/>
  <c r="E51" i="85" a="1"/>
  <c r="E51" i="85" s="1"/>
  <c r="E56" i="87" a="1"/>
  <c r="E56" i="87" s="1"/>
  <c r="H28" i="96" a="1"/>
  <c r="H28" i="96" s="1"/>
  <c r="J30" i="96" a="1"/>
  <c r="J30" i="96" s="1"/>
  <c r="I34" i="96" a="1"/>
  <c r="I34" i="96" s="1"/>
  <c r="K36" i="96" a="1"/>
  <c r="K36" i="96" s="1"/>
  <c r="H28" i="97"/>
  <c r="E33" i="97"/>
  <c r="J127" i="109" a="1"/>
  <c r="J127" i="109" s="1"/>
  <c r="T128" i="116" a="1"/>
  <c r="T128" i="116" s="1"/>
  <c r="F14" i="100"/>
  <c r="O17" i="100" a="1"/>
  <c r="O17" i="100" s="1"/>
  <c r="J21" i="100" a="1"/>
  <c r="J21" i="100" s="1"/>
  <c r="I18" i="100"/>
  <c r="I177" i="118"/>
  <c r="H197" i="118"/>
  <c r="I33" i="117"/>
  <c r="E35" i="117" s="1" a="1"/>
  <c r="E35" i="117" s="1"/>
  <c r="I48" i="117" s="1"/>
  <c r="F21" i="82"/>
  <c r="I19" i="95"/>
  <c r="L26" i="96" s="1" a="1"/>
  <c r="L26" i="96" s="1"/>
  <c r="N26" i="96" s="1" a="1"/>
  <c r="N26" i="96" s="1"/>
  <c r="G26" i="96" a="1"/>
  <c r="G26" i="96" s="1"/>
  <c r="I28" i="96" a="1"/>
  <c r="I28" i="96" s="1"/>
  <c r="K30" i="96" a="1"/>
  <c r="K30" i="96" s="1"/>
  <c r="M36" i="96" a="1"/>
  <c r="M36" i="96" s="1"/>
  <c r="P121" i="116" a="1"/>
  <c r="P121" i="116" s="1"/>
  <c r="F121" i="116" s="1"/>
  <c r="G121" i="116" s="1" a="1"/>
  <c r="G121" i="116" s="1"/>
  <c r="X128" i="116" a="1"/>
  <c r="X128" i="116" s="1"/>
  <c r="G450" i="116" a="1"/>
  <c r="G450" i="116" s="1"/>
  <c r="H450" i="116" s="1" a="1"/>
  <c r="H450" i="116" s="1"/>
  <c r="K14" i="100" a="1"/>
  <c r="K14" i="100" s="1"/>
  <c r="W17" i="100" a="1"/>
  <c r="W17" i="100" s="1"/>
  <c r="M21" i="100" a="1"/>
  <c r="M21" i="100" s="1"/>
  <c r="E70" i="106"/>
  <c r="E25" i="104" a="1"/>
  <c r="E25" i="104" s="1"/>
  <c r="E320" i="116" a="1"/>
  <c r="E320" i="116" s="1"/>
  <c r="H320" i="116" s="1" a="1"/>
  <c r="H320" i="116" s="1"/>
  <c r="E109" i="83" a="1"/>
  <c r="E109" i="83" s="1"/>
  <c r="K39" i="97" a="1"/>
  <c r="K39" i="97" s="1"/>
  <c r="K28" i="97"/>
  <c r="L27" i="97" a="1"/>
  <c r="L27" i="97" s="1"/>
  <c r="I545" i="116" a="1"/>
  <c r="I545" i="116" s="1"/>
  <c r="G21" i="82"/>
  <c r="G7" i="111" a="1"/>
  <c r="G7" i="111" s="1"/>
  <c r="G68" i="83"/>
  <c r="E138" i="84" a="1"/>
  <c r="E138" i="84" s="1"/>
  <c r="E52" i="85" a="1"/>
  <c r="E52" i="85" s="1"/>
  <c r="E57" i="87" a="1"/>
  <c r="E57" i="87" s="1"/>
  <c r="J26" i="96" a="1"/>
  <c r="J26" i="96" s="1"/>
  <c r="J28" i="97"/>
  <c r="E31" i="97"/>
  <c r="G38" i="97"/>
  <c r="T121" i="116" a="1"/>
  <c r="T121" i="116" s="1"/>
  <c r="E316" i="116" a="1"/>
  <c r="E316" i="116" s="1"/>
  <c r="G452" i="116" a="1"/>
  <c r="G452" i="116" s="1"/>
  <c r="J452" i="116" s="1" a="1"/>
  <c r="J452" i="116" s="1"/>
  <c r="N14" i="100" a="1"/>
  <c r="N14" i="100" s="1"/>
  <c r="F18" i="100"/>
  <c r="U21" i="100" a="1"/>
  <c r="U21" i="100" s="1"/>
  <c r="H21" i="82"/>
  <c r="G9" i="111" a="1"/>
  <c r="G9" i="111" s="1"/>
  <c r="K26" i="96" a="1"/>
  <c r="K26" i="96" s="1"/>
  <c r="H39" i="96" a="1"/>
  <c r="H39" i="96" s="1"/>
  <c r="E36" i="97"/>
  <c r="H38" i="97"/>
  <c r="D21" i="109" a="1"/>
  <c r="E59" i="109" a="1"/>
  <c r="J116" i="109" a="1"/>
  <c r="J116" i="109" s="1"/>
  <c r="D157" i="109" a="1"/>
  <c r="D157" i="109" s="1"/>
  <c r="J157" i="109" s="1" a="1"/>
  <c r="J157" i="109" s="1"/>
  <c r="I24" i="116" a="1"/>
  <c r="I24" i="116" s="1"/>
  <c r="J24" i="116" s="1" a="1"/>
  <c r="J24" i="116" s="1"/>
  <c r="X121" i="116" a="1"/>
  <c r="X121" i="116" s="1"/>
  <c r="E317" i="116" a="1"/>
  <c r="E317" i="116" s="1"/>
  <c r="G453" i="116" a="1"/>
  <c r="G453" i="116" s="1"/>
  <c r="H195" i="118"/>
  <c r="U14" i="100" a="1"/>
  <c r="U14" i="100" s="1"/>
  <c r="K18" i="100" a="1"/>
  <c r="K18" i="100" s="1"/>
  <c r="Y21" i="100"/>
  <c r="F22" i="82"/>
  <c r="O25" i="83" s="1"/>
  <c r="G10" i="111" a="1"/>
  <c r="G10" i="111" s="1"/>
  <c r="E139" i="84" a="1"/>
  <c r="E139" i="84" s="1"/>
  <c r="E45" i="85" a="1"/>
  <c r="E45" i="85" s="1"/>
  <c r="G31" i="96" a="1"/>
  <c r="G31" i="96" s="1"/>
  <c r="Q31" i="96" s="1" a="1"/>
  <c r="Q31" i="96" s="1"/>
  <c r="H33" i="96" a="1"/>
  <c r="H33" i="96" s="1"/>
  <c r="G37" i="96" a="1"/>
  <c r="G37" i="96" s="1"/>
  <c r="I39" i="96" a="1"/>
  <c r="I39" i="96" s="1"/>
  <c r="I38" i="97"/>
  <c r="E21" i="109" a="1"/>
  <c r="J132" i="109" a="1"/>
  <c r="J132" i="109" s="1"/>
  <c r="E157" i="109" a="1"/>
  <c r="E157" i="109" s="1"/>
  <c r="I25" i="116" a="1"/>
  <c r="I25" i="116" s="1"/>
  <c r="P123" i="116" a="1"/>
  <c r="P123" i="116" s="1"/>
  <c r="Y14" i="100"/>
  <c r="O236" i="116" s="1" a="1"/>
  <c r="O236" i="116" s="1"/>
  <c r="S18" i="100" a="1"/>
  <c r="S18" i="100" s="1"/>
  <c r="P26" i="100"/>
  <c r="I69" i="117"/>
  <c r="G22" i="82"/>
  <c r="P25" i="83" s="1"/>
  <c r="G11" i="111" a="1"/>
  <c r="G11" i="111" s="1"/>
  <c r="I21" i="95"/>
  <c r="E140" i="84" a="1"/>
  <c r="E140" i="84" s="1"/>
  <c r="H31" i="96" a="1"/>
  <c r="H31" i="96" s="1"/>
  <c r="I33" i="96" a="1"/>
  <c r="I33" i="96" s="1"/>
  <c r="G35" i="96" a="1"/>
  <c r="G35" i="96" s="1"/>
  <c r="H37" i="96" a="1"/>
  <c r="H37" i="96" s="1"/>
  <c r="J39" i="96" a="1"/>
  <c r="J39" i="96" s="1"/>
  <c r="J118" i="109" a="1"/>
  <c r="J118" i="109" s="1"/>
  <c r="I26" i="116" a="1"/>
  <c r="I26" i="116" s="1"/>
  <c r="M26" i="116" s="1" a="1"/>
  <c r="M26" i="116" s="1"/>
  <c r="P120" i="116" a="1"/>
  <c r="P120" i="116" s="1"/>
  <c r="Y252" i="116"/>
  <c r="AA260" i="116" a="1"/>
  <c r="AA260" i="116" s="1"/>
  <c r="E463" i="116"/>
  <c r="G463" i="116" s="1" a="1"/>
  <c r="G463" i="116" s="1"/>
  <c r="G468" i="116" a="1"/>
  <c r="G468" i="116" s="1"/>
  <c r="G467" i="116" a="1"/>
  <c r="G467" i="116" s="1"/>
  <c r="G466" i="116" a="1"/>
  <c r="G466" i="116" s="1"/>
  <c r="H466" i="116" s="1" a="1"/>
  <c r="H466" i="116" s="1"/>
  <c r="G465" i="116" a="1"/>
  <c r="G465" i="116" s="1"/>
  <c r="G464" i="116" a="1"/>
  <c r="G464" i="116" s="1"/>
  <c r="H464" i="116" s="1" a="1"/>
  <c r="H464" i="116" s="1"/>
  <c r="G470" i="116" a="1"/>
  <c r="G470" i="116" s="1"/>
  <c r="J470" i="116" s="1" a="1"/>
  <c r="J470" i="116" s="1"/>
  <c r="H15" i="100"/>
  <c r="P34" i="100"/>
  <c r="E73" i="106"/>
  <c r="G184" i="84"/>
  <c r="J38" i="97"/>
  <c r="G195" i="118"/>
  <c r="G194" i="118"/>
  <c r="G196" i="118"/>
  <c r="O90" i="118"/>
  <c r="Q89" i="118" s="1"/>
  <c r="AB129" i="116" a="1"/>
  <c r="AB129" i="116" s="1"/>
  <c r="T126" i="116" a="1"/>
  <c r="T126" i="116" s="1"/>
  <c r="AB122" i="116" a="1"/>
  <c r="AB122" i="116" s="1"/>
  <c r="X129" i="116" a="1"/>
  <c r="X129" i="116" s="1"/>
  <c r="P126" i="116" a="1"/>
  <c r="P126" i="116" s="1"/>
  <c r="X122" i="116" a="1"/>
  <c r="X122" i="116" s="1"/>
  <c r="T129" i="116" a="1"/>
  <c r="T129" i="116" s="1"/>
  <c r="F129" i="116" s="1"/>
  <c r="AB125" i="116" a="1"/>
  <c r="AB125" i="116" s="1"/>
  <c r="T122" i="116" a="1"/>
  <c r="T122" i="116" s="1"/>
  <c r="T120" i="116" a="1"/>
  <c r="T120" i="116" s="1"/>
  <c r="P129" i="116" a="1"/>
  <c r="P129" i="116" s="1"/>
  <c r="X125" i="116" a="1"/>
  <c r="X125" i="116" s="1"/>
  <c r="P122" i="116" a="1"/>
  <c r="P122" i="116" s="1"/>
  <c r="AB128" i="116" a="1"/>
  <c r="AB128" i="116" s="1"/>
  <c r="T125" i="116" a="1"/>
  <c r="T125" i="116" s="1"/>
  <c r="AB121" i="116" a="1"/>
  <c r="AB121" i="116" s="1"/>
  <c r="AB127" i="116" a="1"/>
  <c r="AB127" i="116" s="1"/>
  <c r="T124" i="116" a="1"/>
  <c r="T124" i="116" s="1"/>
  <c r="AB120" i="116" a="1"/>
  <c r="AB120" i="116" s="1"/>
  <c r="X127" i="116" a="1"/>
  <c r="X127" i="116" s="1"/>
  <c r="P124" i="116" a="1"/>
  <c r="P124" i="116" s="1"/>
  <c r="F124" i="116" s="1"/>
  <c r="I124" i="116" s="1" a="1"/>
  <c r="I124" i="116" s="1"/>
  <c r="AB126" i="116" a="1"/>
  <c r="AB126" i="116" s="1"/>
  <c r="T123" i="116" a="1"/>
  <c r="T123" i="116" s="1"/>
  <c r="X120" i="116" a="1"/>
  <c r="X120" i="116" s="1"/>
  <c r="L242" i="118"/>
  <c r="N241" i="118" s="1"/>
  <c r="F153" i="116" a="1"/>
  <c r="F153" i="116" s="1"/>
  <c r="I153" i="116" s="1" a="1"/>
  <c r="I153" i="116" s="1"/>
  <c r="F152" i="116" a="1"/>
  <c r="F152" i="116" s="1"/>
  <c r="G152" i="116" s="1" a="1"/>
  <c r="G152" i="116" s="1"/>
  <c r="F151" i="116" a="1"/>
  <c r="F151" i="116" s="1"/>
  <c r="F150" i="116" a="1"/>
  <c r="F150" i="116" s="1"/>
  <c r="F149" i="116" a="1"/>
  <c r="F149" i="116" s="1"/>
  <c r="G149" i="116" s="1" a="1"/>
  <c r="G149" i="116" s="1"/>
  <c r="E17" i="82"/>
  <c r="D25" i="83" s="1"/>
  <c r="G12" i="111" a="1"/>
  <c r="G12" i="111" s="1"/>
  <c r="E25" i="96"/>
  <c r="G25" i="96" s="1" a="1"/>
  <c r="G25" i="96" s="1"/>
  <c r="G27" i="96" a="1"/>
  <c r="G27" i="96" s="1"/>
  <c r="G29" i="96" a="1"/>
  <c r="G29" i="96" s="1"/>
  <c r="P29" i="96" s="1" a="1"/>
  <c r="P29" i="96" s="1"/>
  <c r="I31" i="96" a="1"/>
  <c r="I31" i="96" s="1"/>
  <c r="J33" i="96" a="1"/>
  <c r="J33" i="96" s="1"/>
  <c r="H35" i="96" a="1"/>
  <c r="H35" i="96" s="1"/>
  <c r="I37" i="96" a="1"/>
  <c r="I37" i="96" s="1"/>
  <c r="K39" i="96" a="1"/>
  <c r="K39" i="96" s="1"/>
  <c r="E34" i="97"/>
  <c r="J133" i="109" a="1"/>
  <c r="J133" i="109" s="1"/>
  <c r="I27" i="116" a="1"/>
  <c r="I27" i="116" s="1"/>
  <c r="AB123" i="116" a="1"/>
  <c r="AB123" i="116" s="1"/>
  <c r="F123" i="116" s="1"/>
  <c r="F12" i="100"/>
  <c r="Q15" i="100" a="1"/>
  <c r="Q15" i="100" s="1"/>
  <c r="AD236" i="116" s="1" a="1"/>
  <c r="AD236" i="116" s="1"/>
  <c r="Z18" i="100"/>
  <c r="P236" i="116" s="1" a="1"/>
  <c r="P236" i="116" s="1"/>
  <c r="M31" i="97" a="1"/>
  <c r="M31" i="97" s="1"/>
  <c r="J87" i="117"/>
  <c r="G385" i="116" a="1"/>
  <c r="G385" i="116" s="1"/>
  <c r="J385" i="116" s="1" a="1"/>
  <c r="J385" i="116" s="1"/>
  <c r="G384" i="116" a="1"/>
  <c r="G384" i="116" s="1"/>
  <c r="J384" i="116" s="1" a="1"/>
  <c r="J384" i="116" s="1"/>
  <c r="G383" i="116" a="1"/>
  <c r="G383" i="116" s="1"/>
  <c r="G382" i="116" a="1"/>
  <c r="G382" i="116" s="1"/>
  <c r="G391" i="116" a="1"/>
  <c r="G391" i="116" s="1"/>
  <c r="J391" i="116" s="1" a="1"/>
  <c r="J391" i="116" s="1"/>
  <c r="G390" i="116" a="1"/>
  <c r="G390" i="116" s="1"/>
  <c r="G387" i="116" a="1"/>
  <c r="G387" i="116" s="1"/>
  <c r="H387" i="116" s="1" a="1"/>
  <c r="H387" i="116" s="1"/>
  <c r="E47" i="85" a="1"/>
  <c r="E47" i="85" s="1"/>
  <c r="E60" i="87" a="1"/>
  <c r="E60" i="87" s="1"/>
  <c r="H27" i="96" a="1"/>
  <c r="H27" i="96" s="1"/>
  <c r="H29" i="96" a="1"/>
  <c r="H29" i="96" s="1"/>
  <c r="J31" i="96" a="1"/>
  <c r="J31" i="96" s="1"/>
  <c r="K33" i="96" a="1"/>
  <c r="K33" i="96" s="1"/>
  <c r="K35" i="96" a="1"/>
  <c r="K35" i="96" s="1"/>
  <c r="J120" i="109" a="1"/>
  <c r="J120" i="109" s="1"/>
  <c r="I30" i="116" a="1"/>
  <c r="I30" i="116" s="1"/>
  <c r="M30" i="116" s="1" a="1"/>
  <c r="M30" i="116" s="1"/>
  <c r="X124" i="116" a="1"/>
  <c r="X124" i="116" s="1"/>
  <c r="F148" i="116" a="1"/>
  <c r="F148" i="116" s="1"/>
  <c r="P12" i="100" a="1"/>
  <c r="P12" i="100" s="1"/>
  <c r="AC236" i="116" s="1" a="1"/>
  <c r="AC236" i="116" s="1"/>
  <c r="T15" i="100" a="1"/>
  <c r="T15" i="100" s="1"/>
  <c r="O19" i="100" a="1"/>
  <c r="O19" i="100" s="1"/>
  <c r="D19" i="101" a="1"/>
  <c r="E43" i="87" a="1"/>
  <c r="E43" i="87" s="1"/>
  <c r="E46" i="87" a="1"/>
  <c r="E46" i="87" s="1"/>
  <c r="E143" i="84" a="1"/>
  <c r="E143" i="84" s="1"/>
  <c r="M34" i="97" a="1"/>
  <c r="M34" i="97" s="1"/>
  <c r="L34" i="97" a="1"/>
  <c r="L34" i="97" s="1"/>
  <c r="E252" i="116" a="1"/>
  <c r="H37" i="97"/>
  <c r="G37" i="97"/>
  <c r="E105" i="105"/>
  <c r="F105" i="105" s="1" a="1"/>
  <c r="F105" i="105" s="1"/>
  <c r="E137" i="105" s="1"/>
  <c r="E68" i="106"/>
  <c r="E69" i="106"/>
  <c r="E106" i="105"/>
  <c r="F106" i="105" s="1" a="1"/>
  <c r="F106" i="105" s="1"/>
  <c r="E138" i="105" s="1"/>
  <c r="G8" i="111" a="1"/>
  <c r="G8" i="111" s="1"/>
  <c r="G14" i="111" a="1"/>
  <c r="G14" i="111" s="1"/>
  <c r="I27" i="96" a="1"/>
  <c r="I27" i="96" s="1"/>
  <c r="K29" i="96" a="1"/>
  <c r="K29" i="96" s="1"/>
  <c r="M31" i="96" a="1"/>
  <c r="M31" i="96" s="1"/>
  <c r="E32" i="97"/>
  <c r="J136" i="109" a="1"/>
  <c r="J136" i="109" s="1"/>
  <c r="J159" i="109" a="1"/>
  <c r="J159" i="109" s="1"/>
  <c r="I31" i="116" a="1"/>
  <c r="I31" i="116" s="1"/>
  <c r="J31" i="116" s="1" a="1"/>
  <c r="J31" i="116" s="1"/>
  <c r="AB124" i="116" a="1"/>
  <c r="AB124" i="116" s="1"/>
  <c r="S260" i="116" a="1"/>
  <c r="S260" i="116" s="1"/>
  <c r="R12" i="100" a="1"/>
  <c r="R12" i="100" s="1"/>
  <c r="W15" i="100" a="1"/>
  <c r="W15" i="100" s="1"/>
  <c r="R19" i="100" a="1"/>
  <c r="R19" i="100" s="1"/>
  <c r="K40" i="97" a="1"/>
  <c r="K40" i="97" s="1"/>
  <c r="E252" i="116"/>
  <c r="J261" i="116" a="1"/>
  <c r="J261" i="116" s="1"/>
  <c r="J257" i="116" a="1"/>
  <c r="J257" i="116" s="1"/>
  <c r="J256" i="116" a="1"/>
  <c r="J256" i="116" s="1"/>
  <c r="J255" i="116" a="1"/>
  <c r="J255" i="116" s="1"/>
  <c r="J254" i="116" a="1"/>
  <c r="J254" i="116" s="1"/>
  <c r="J253" i="116" a="1"/>
  <c r="J253" i="116" s="1"/>
  <c r="F320" i="116" a="1"/>
  <c r="F320" i="116" s="1"/>
  <c r="F20" i="103" a="1"/>
  <c r="F20" i="103" s="1"/>
  <c r="G320" i="116" a="1"/>
  <c r="G320" i="116" s="1"/>
  <c r="G20" i="103" a="1"/>
  <c r="G20" i="103" s="1"/>
  <c r="I20" i="103" a="1"/>
  <c r="I20" i="103" s="1"/>
  <c r="AL236" i="116" a="1"/>
  <c r="AL236" i="116" s="1"/>
  <c r="AK236" i="116" a="1"/>
  <c r="AK236" i="116" s="1"/>
  <c r="AG236" i="116" a="1"/>
  <c r="AG236" i="116" s="1"/>
  <c r="U236" i="116" a="1"/>
  <c r="U236" i="116" s="1"/>
  <c r="Q236" i="116" a="1"/>
  <c r="J642" i="116" a="1"/>
  <c r="J642" i="116" s="1"/>
  <c r="G151" i="116" a="1"/>
  <c r="G151" i="116" s="1"/>
  <c r="G496" i="116" a="1"/>
  <c r="G496" i="116" s="1"/>
  <c r="G178" i="116" a="1"/>
  <c r="G178" i="116" s="1"/>
  <c r="G494" i="116" a="1"/>
  <c r="G494" i="116" s="1"/>
  <c r="E182" i="116"/>
  <c r="F55" i="117"/>
  <c r="P55" i="117"/>
  <c r="I149" i="116" a="1"/>
  <c r="I149" i="116" s="1"/>
  <c r="G150" i="116" a="1"/>
  <c r="G150" i="116" s="1"/>
  <c r="G485" i="116" a="1"/>
  <c r="G485" i="116" s="1"/>
  <c r="G140" i="116" a="1"/>
  <c r="G140" i="116" s="1"/>
  <c r="G482" i="116" a="1"/>
  <c r="G482" i="116" s="1"/>
  <c r="E61" i="117"/>
  <c r="O61" i="117"/>
  <c r="E26" i="117"/>
  <c r="O26" i="117"/>
  <c r="F533" i="116"/>
  <c r="F181" i="116"/>
  <c r="F426" i="116"/>
  <c r="F263" i="116"/>
  <c r="P90" i="117"/>
  <c r="F90" i="117"/>
  <c r="G67" i="116" a="1"/>
  <c r="G67" i="116" s="1"/>
  <c r="G70" i="116" a="1"/>
  <c r="G70" i="116" s="1"/>
  <c r="G66" i="116" a="1"/>
  <c r="G66" i="116" s="1"/>
  <c r="P74" i="117"/>
  <c r="F74" i="117"/>
  <c r="I140" i="116" a="1"/>
  <c r="I140" i="116" s="1"/>
  <c r="I151" i="116" a="1"/>
  <c r="I151" i="116" s="1"/>
  <c r="G481" i="116" a="1"/>
  <c r="G481" i="116" s="1"/>
  <c r="F19" i="117"/>
  <c r="G68" i="116" a="1"/>
  <c r="G68" i="116" s="1"/>
  <c r="J70" i="116" a="1"/>
  <c r="J70" i="116" s="1"/>
  <c r="H468" i="116" a="1"/>
  <c r="H468" i="116" s="1"/>
  <c r="E548" i="116" a="1"/>
  <c r="E548" i="116" s="1"/>
  <c r="I150" i="116" a="1"/>
  <c r="I150" i="116" s="1"/>
  <c r="E101" i="116"/>
  <c r="E338" i="116"/>
  <c r="E370" i="116"/>
  <c r="E400" i="116"/>
  <c r="E7" i="116"/>
  <c r="E203" i="116"/>
  <c r="E218" i="116"/>
  <c r="E189" i="116"/>
  <c r="E166" i="116"/>
  <c r="E273" i="116"/>
  <c r="E433" i="116"/>
  <c r="E305" i="116"/>
  <c r="E576" i="116"/>
  <c r="E609" i="116"/>
  <c r="I139" i="116" a="1"/>
  <c r="I139" i="116" s="1"/>
  <c r="G139" i="116" a="1"/>
  <c r="G139" i="116" s="1"/>
  <c r="H463" i="116" a="1"/>
  <c r="H463" i="116" s="1"/>
  <c r="G49" i="116" a="1"/>
  <c r="G49" i="116" s="1"/>
  <c r="J45" i="116" a="1"/>
  <c r="J45" i="116" s="1"/>
  <c r="J51" i="116" a="1"/>
  <c r="J51" i="116" s="1"/>
  <c r="J47" i="116" a="1"/>
  <c r="J47" i="116" s="1"/>
  <c r="G51" i="116" a="1"/>
  <c r="G51" i="116" s="1"/>
  <c r="G47" i="116" a="1"/>
  <c r="G47" i="116" s="1"/>
  <c r="F657" i="116"/>
  <c r="F636" i="116"/>
  <c r="F656" i="116"/>
  <c r="F156" i="116"/>
  <c r="F653" i="116"/>
  <c r="F143" i="116"/>
  <c r="F654" i="116"/>
  <c r="F142" i="116"/>
  <c r="F635" i="116"/>
  <c r="F132" i="116"/>
  <c r="F160" i="116"/>
  <c r="F131" i="116"/>
  <c r="F159" i="116"/>
  <c r="F155" i="116"/>
  <c r="G153" i="116" a="1"/>
  <c r="G153" i="116" s="1"/>
  <c r="F94" i="116"/>
  <c r="F54" i="116"/>
  <c r="F73" i="116"/>
  <c r="F72" i="116"/>
  <c r="F93" i="116"/>
  <c r="F53" i="116"/>
  <c r="F35" i="116"/>
  <c r="F91" i="116"/>
  <c r="F34" i="116"/>
  <c r="F90" i="116"/>
  <c r="G42" i="116" a="1"/>
  <c r="G42" i="116" s="1"/>
  <c r="H388" i="116" a="1"/>
  <c r="H388" i="116" s="1"/>
  <c r="J388" i="116" a="1"/>
  <c r="J388" i="116" s="1"/>
  <c r="G64" i="116" a="1"/>
  <c r="G64" i="116" s="1"/>
  <c r="F299" i="116"/>
  <c r="L352" i="116"/>
  <c r="L357" i="116"/>
  <c r="K420" i="116"/>
  <c r="K415" i="116"/>
  <c r="K416" i="116"/>
  <c r="K417" i="116"/>
  <c r="J472" i="116" a="1"/>
  <c r="J472" i="116" s="1"/>
  <c r="H472" i="116" a="1"/>
  <c r="H472" i="116" s="1"/>
  <c r="G495" i="116" a="1"/>
  <c r="G495" i="116" s="1"/>
  <c r="I495" i="116" a="1"/>
  <c r="I495" i="116" s="1"/>
  <c r="E499" i="116" s="1"/>
  <c r="M29" i="116" a="1"/>
  <c r="M29" i="116" s="1"/>
  <c r="M31" i="116" a="1"/>
  <c r="M31" i="116" s="1"/>
  <c r="J49" i="116" a="1"/>
  <c r="J49" i="116" s="1"/>
  <c r="J43" i="116" a="1"/>
  <c r="J43" i="116" s="1"/>
  <c r="G46" i="116" a="1"/>
  <c r="G46" i="116" s="1"/>
  <c r="G44" i="116" a="1"/>
  <c r="G44" i="116" s="1"/>
  <c r="J64" i="116" a="1"/>
  <c r="J64" i="116" s="1"/>
  <c r="J68" i="116" a="1"/>
  <c r="J68" i="116" s="1"/>
  <c r="I295" i="116" a="1"/>
  <c r="I295" i="116" s="1"/>
  <c r="G295" i="116" a="1"/>
  <c r="G295" i="116" s="1"/>
  <c r="K414" i="116"/>
  <c r="M27" i="116" a="1"/>
  <c r="M27" i="116" s="1"/>
  <c r="J87" i="116" a="1"/>
  <c r="J87" i="116" s="1"/>
  <c r="J80" i="116" a="1"/>
  <c r="J80" i="116" s="1"/>
  <c r="J81" i="116" a="1"/>
  <c r="J81" i="116" s="1"/>
  <c r="J85" i="116" a="1"/>
  <c r="J85" i="116" s="1"/>
  <c r="K421" i="116"/>
  <c r="F517" i="116"/>
  <c r="G65" i="116" a="1"/>
  <c r="G65" i="116" s="1"/>
  <c r="J69" i="116" a="1"/>
  <c r="J69" i="116" s="1"/>
  <c r="G148" i="116" a="1"/>
  <c r="G148" i="116" s="1"/>
  <c r="I152" i="116" a="1"/>
  <c r="I152" i="116" s="1"/>
  <c r="H382" i="116" a="1"/>
  <c r="H382" i="116" s="1"/>
  <c r="K422" i="116"/>
  <c r="F588" i="116"/>
  <c r="M25" i="116" a="1"/>
  <c r="M25" i="116" s="1"/>
  <c r="G48" i="116" a="1"/>
  <c r="G48" i="116" s="1"/>
  <c r="F499" i="116"/>
  <c r="F488" i="116"/>
  <c r="F332" i="116"/>
  <c r="F516" i="116"/>
  <c r="F393" i="116"/>
  <c r="F363" i="116"/>
  <c r="F264" i="116"/>
  <c r="F474" i="116"/>
  <c r="F266" i="116"/>
  <c r="F548" i="116"/>
  <c r="F457" i="116"/>
  <c r="F570" i="116"/>
  <c r="F456" i="116"/>
  <c r="F475" i="116"/>
  <c r="F182" i="116"/>
  <c r="L353" i="116"/>
  <c r="F487" i="116"/>
  <c r="K423" i="116"/>
  <c r="G45" i="116" a="1"/>
  <c r="G45" i="116" s="1"/>
  <c r="J48" i="116" a="1"/>
  <c r="J48" i="116" s="1"/>
  <c r="J82" i="116" a="1"/>
  <c r="J82" i="116" s="1"/>
  <c r="J86" i="116" a="1"/>
  <c r="J86" i="116" s="1"/>
  <c r="L360" i="116"/>
  <c r="F425" i="116"/>
  <c r="J466" i="116" a="1"/>
  <c r="J466" i="116" s="1"/>
  <c r="J467" i="116" a="1"/>
  <c r="J467" i="116" s="1"/>
  <c r="J464" i="116" a="1"/>
  <c r="J464" i="116" s="1"/>
  <c r="J469" i="116" a="1"/>
  <c r="J469" i="116" s="1"/>
  <c r="J463" i="116" a="1"/>
  <c r="J463" i="116" s="1"/>
  <c r="J62" i="116" a="1"/>
  <c r="J62" i="116" s="1"/>
  <c r="J66" i="116" a="1"/>
  <c r="J66" i="116" s="1"/>
  <c r="F267" i="116"/>
  <c r="I293" i="116" a="1"/>
  <c r="I293" i="116" s="1"/>
  <c r="G287" i="116" a="1"/>
  <c r="G287" i="116" s="1"/>
  <c r="L354" i="116"/>
  <c r="F362" i="116"/>
  <c r="H448" i="116" a="1"/>
  <c r="H448" i="116" s="1"/>
  <c r="H449" i="116" a="1"/>
  <c r="H449" i="116" s="1"/>
  <c r="J32" i="116" a="1"/>
  <c r="J32" i="116" s="1"/>
  <c r="J448" i="116" a="1"/>
  <c r="J448" i="116" s="1"/>
  <c r="J450" i="116" a="1"/>
  <c r="J450" i="116" s="1"/>
  <c r="J445" i="116" a="1"/>
  <c r="J445" i="116" s="1"/>
  <c r="H453" i="116" a="1"/>
  <c r="H453" i="116" s="1"/>
  <c r="J453" i="116" a="1"/>
  <c r="J453" i="116" s="1"/>
  <c r="G63" i="116" a="1"/>
  <c r="G63" i="116" s="1"/>
  <c r="F311" i="116"/>
  <c r="F331" i="116"/>
  <c r="G50" i="116" a="1"/>
  <c r="G50" i="116" s="1"/>
  <c r="J83" i="116" a="1"/>
  <c r="J83" i="116" s="1"/>
  <c r="L355" i="116"/>
  <c r="K418" i="116"/>
  <c r="H467" i="116" a="1"/>
  <c r="H467" i="116" s="1"/>
  <c r="H471" i="116" a="1"/>
  <c r="H471" i="116" s="1"/>
  <c r="F498" i="116"/>
  <c r="J46" i="116" a="1"/>
  <c r="J46" i="116" s="1"/>
  <c r="G69" i="116" a="1"/>
  <c r="G69" i="116" s="1"/>
  <c r="J65" i="116" a="1"/>
  <c r="J65" i="116" s="1"/>
  <c r="G62" i="116" a="1"/>
  <c r="G62" i="116" s="1"/>
  <c r="J63" i="116" a="1"/>
  <c r="J63" i="116" s="1"/>
  <c r="J67" i="116" a="1"/>
  <c r="J67" i="116" s="1"/>
  <c r="G137" i="116" a="1"/>
  <c r="G137" i="116" s="1"/>
  <c r="J258" i="116" a="1"/>
  <c r="J258" i="116" s="1"/>
  <c r="J260" i="116" a="1"/>
  <c r="J260" i="116" s="1"/>
  <c r="J259" i="116" a="1"/>
  <c r="J259" i="116" s="1"/>
  <c r="F298" i="116"/>
  <c r="K357" i="116" a="1"/>
  <c r="K357" i="116" s="1"/>
  <c r="K358" i="116" a="1"/>
  <c r="K358" i="116" s="1"/>
  <c r="K352" i="116" a="1"/>
  <c r="K352" i="116" s="1"/>
  <c r="K356" i="116" a="1"/>
  <c r="K356" i="116" s="1"/>
  <c r="J449" i="116" a="1"/>
  <c r="J449" i="116" s="1"/>
  <c r="J471" i="116" a="1"/>
  <c r="J471" i="116" s="1"/>
  <c r="J630" i="116" a="1"/>
  <c r="J630" i="116" s="1"/>
  <c r="J624" i="116" a="1"/>
  <c r="J624" i="116" s="1"/>
  <c r="J627" i="116" a="1"/>
  <c r="J627" i="116" s="1"/>
  <c r="J633" i="116" a="1"/>
  <c r="J633" i="116" s="1"/>
  <c r="J625" i="116" a="1"/>
  <c r="J625" i="116" s="1"/>
  <c r="J628" i="116" a="1"/>
  <c r="J628" i="116" s="1"/>
  <c r="G43" i="116" a="1"/>
  <c r="G43" i="116" s="1"/>
  <c r="J50" i="116" a="1"/>
  <c r="J50" i="116" s="1"/>
  <c r="J84" i="116" a="1"/>
  <c r="J84" i="116" s="1"/>
  <c r="J88" i="116" a="1"/>
  <c r="J88" i="116" s="1"/>
  <c r="K351" i="116" a="1"/>
  <c r="K351" i="116" s="1"/>
  <c r="L356" i="116"/>
  <c r="F394" i="116"/>
  <c r="J416" i="116" a="1"/>
  <c r="J416" i="116" s="1"/>
  <c r="J417" i="116" a="1"/>
  <c r="J417" i="116" s="1"/>
  <c r="J422" i="116" a="1"/>
  <c r="J422" i="116" s="1"/>
  <c r="J423" i="116" a="1"/>
  <c r="J423" i="116" s="1"/>
  <c r="H446" i="116" a="1"/>
  <c r="H446" i="116" s="1"/>
  <c r="I482" i="116" a="1"/>
  <c r="I482" i="116" s="1"/>
  <c r="J646" i="116" a="1"/>
  <c r="J646" i="116" s="1"/>
  <c r="J644" i="116" a="1"/>
  <c r="J644" i="116" s="1"/>
  <c r="J648" i="116" a="1"/>
  <c r="J648" i="116" s="1"/>
  <c r="J387" i="116" a="1"/>
  <c r="J387" i="116" s="1"/>
  <c r="H385" i="116" a="1"/>
  <c r="H385" i="116" s="1"/>
  <c r="J389" i="116" a="1"/>
  <c r="J389" i="116" s="1"/>
  <c r="K511" i="116" a="1"/>
  <c r="K511" i="116" s="1"/>
  <c r="H465" i="116" a="1"/>
  <c r="H465" i="116" s="1"/>
  <c r="K512" i="116" a="1"/>
  <c r="K512" i="116" s="1"/>
  <c r="J386" i="116" a="1"/>
  <c r="J386" i="116" s="1"/>
  <c r="H389" i="116" a="1"/>
  <c r="H389" i="116" s="1"/>
  <c r="J647" i="116" a="1"/>
  <c r="J647" i="116" s="1"/>
  <c r="E99" i="109"/>
  <c r="E7" i="109"/>
  <c r="F192" i="109"/>
  <c r="F151" i="109"/>
  <c r="I57" i="106"/>
  <c r="F107" i="105" a="1"/>
  <c r="F107" i="105" s="1"/>
  <c r="E139" i="105" s="1"/>
  <c r="E49" i="106"/>
  <c r="E7" i="106"/>
  <c r="F109" i="105" a="1"/>
  <c r="F109" i="105" s="1"/>
  <c r="E141" i="105" s="1"/>
  <c r="F110" i="105" a="1"/>
  <c r="F110" i="105" s="1"/>
  <c r="E142" i="105" s="1"/>
  <c r="F112" i="105" a="1"/>
  <c r="F112" i="105" s="1"/>
  <c r="E144" i="105" s="1"/>
  <c r="E43" i="105"/>
  <c r="E118" i="105"/>
  <c r="E7" i="105"/>
  <c r="E90" i="105"/>
  <c r="F79" i="105"/>
  <c r="G59" i="105"/>
  <c r="E7" i="104"/>
  <c r="E38" i="103"/>
  <c r="E7" i="103"/>
  <c r="I21" i="103" a="1"/>
  <c r="I21" i="103" s="1"/>
  <c r="I22" i="103" a="1"/>
  <c r="I22" i="103" s="1"/>
  <c r="E7" i="102"/>
  <c r="E43" i="102"/>
  <c r="F78" i="102"/>
  <c r="F58" i="102"/>
  <c r="E42" i="101"/>
  <c r="N85" i="101"/>
  <c r="E7" i="101"/>
  <c r="F80" i="101"/>
  <c r="O110" i="101"/>
  <c r="F60" i="101"/>
  <c r="I19" i="100"/>
  <c r="N105" i="101"/>
  <c r="D40" i="100"/>
  <c r="J54" i="100"/>
  <c r="I17" i="100"/>
  <c r="J55" i="100"/>
  <c r="J56" i="100"/>
  <c r="X13" i="100"/>
  <c r="I13" i="100"/>
  <c r="I12" i="100"/>
  <c r="I15" i="100"/>
  <c r="I21" i="100"/>
  <c r="I15" i="90"/>
  <c r="E7" i="97"/>
  <c r="L8" i="97"/>
  <c r="F58" i="97"/>
  <c r="F49" i="97"/>
  <c r="F57" i="97"/>
  <c r="F46" i="97"/>
  <c r="F56" i="97"/>
  <c r="F45" i="97"/>
  <c r="F55" i="97"/>
  <c r="F44" i="97"/>
  <c r="F52" i="97"/>
  <c r="F43" i="97"/>
  <c r="F51" i="97"/>
  <c r="F50" i="97"/>
  <c r="D39" i="97"/>
  <c r="L39" i="97" s="1" a="1"/>
  <c r="L39" i="97" s="1"/>
  <c r="D42" i="97"/>
  <c r="D30" i="97"/>
  <c r="L30" i="97" s="1" a="1"/>
  <c r="L30" i="97" s="1"/>
  <c r="D37" i="97"/>
  <c r="L37" i="97" s="1" a="1"/>
  <c r="L37" i="97" s="1"/>
  <c r="Q37" i="97" s="1" a="1"/>
  <c r="Q37" i="97" s="1"/>
  <c r="D28" i="97"/>
  <c r="L28" i="97" s="1" a="1"/>
  <c r="L28" i="97" s="1"/>
  <c r="D35" i="97"/>
  <c r="D26" i="97"/>
  <c r="L26" i="97" s="1" a="1"/>
  <c r="L26" i="97" s="1"/>
  <c r="D33" i="97"/>
  <c r="L33" i="97" s="1" a="1"/>
  <c r="L33" i="97" s="1"/>
  <c r="D40" i="97"/>
  <c r="D31" i="97"/>
  <c r="L31" i="97" s="1" a="1"/>
  <c r="L31" i="97" s="1"/>
  <c r="D38" i="97"/>
  <c r="L38" i="97" s="1" a="1"/>
  <c r="L38" i="97" s="1"/>
  <c r="D48" i="97"/>
  <c r="E7" i="96"/>
  <c r="L7" i="96"/>
  <c r="D30" i="96"/>
  <c r="L30" i="96" s="1" a="1"/>
  <c r="L30" i="96" s="1"/>
  <c r="F43" i="96"/>
  <c r="D39" i="96"/>
  <c r="L39" i="96" s="1" a="1"/>
  <c r="L39" i="96" s="1"/>
  <c r="F52" i="96"/>
  <c r="F62" i="96"/>
  <c r="N35" i="96" a="1"/>
  <c r="N35" i="96" s="1"/>
  <c r="F44" i="96"/>
  <c r="D54" i="96"/>
  <c r="F63" i="96"/>
  <c r="F45" i="96"/>
  <c r="F55" i="96"/>
  <c r="F64" i="96"/>
  <c r="F46" i="96"/>
  <c r="F56" i="96"/>
  <c r="D48" i="96"/>
  <c r="F67" i="96"/>
  <c r="F57" i="96"/>
  <c r="P28" i="96" a="1"/>
  <c r="P28" i="96" s="1"/>
  <c r="F49" i="96"/>
  <c r="F68" i="96"/>
  <c r="D36" i="96"/>
  <c r="F58" i="96"/>
  <c r="F50" i="96"/>
  <c r="F69" i="96"/>
  <c r="F51" i="96"/>
  <c r="F61" i="96"/>
  <c r="E18" i="93" a="1"/>
  <c r="E18" i="93" s="1"/>
  <c r="I20" i="95"/>
  <c r="L33" i="96" s="1" a="1"/>
  <c r="L33" i="96" s="1"/>
  <c r="P33" i="96" s="1" a="1"/>
  <c r="P33" i="96" s="1"/>
  <c r="E51" i="96" s="1"/>
  <c r="I18" i="95"/>
  <c r="L32" i="97" s="1" a="1"/>
  <c r="L32" i="97" s="1"/>
  <c r="I17" i="95"/>
  <c r="F30" i="90"/>
  <c r="P30" i="90"/>
  <c r="I28" i="90"/>
  <c r="E7" i="90"/>
  <c r="P47" i="90"/>
  <c r="F47" i="90"/>
  <c r="I15" i="84"/>
  <c r="I23" i="90"/>
  <c r="S28" i="90"/>
  <c r="E7" i="89"/>
  <c r="I19" i="89"/>
  <c r="R19" i="89"/>
  <c r="R24" i="89"/>
  <c r="O26" i="89"/>
  <c r="F26" i="89"/>
  <c r="I24" i="89"/>
  <c r="O45" i="89"/>
  <c r="F45" i="89"/>
  <c r="G133" i="87"/>
  <c r="E7" i="88"/>
  <c r="P27" i="88"/>
  <c r="I25" i="88"/>
  <c r="F27" i="88"/>
  <c r="S20" i="88"/>
  <c r="I20" i="88"/>
  <c r="T67" i="87"/>
  <c r="G86" i="87"/>
  <c r="E127" i="87"/>
  <c r="E7" i="87"/>
  <c r="P205" i="87"/>
  <c r="T105" i="87"/>
  <c r="F205" i="87"/>
  <c r="J189" i="87"/>
  <c r="J105" i="87"/>
  <c r="P121" i="87"/>
  <c r="T189" i="87"/>
  <c r="F121" i="87"/>
  <c r="G35" i="83" a="1"/>
  <c r="G35" i="83" s="1"/>
  <c r="H116" i="83" s="1" a="1"/>
  <c r="H116" i="83" s="1"/>
  <c r="T189" i="84"/>
  <c r="J142" i="87"/>
  <c r="T142" i="87"/>
  <c r="F158" i="87"/>
  <c r="G164" i="84"/>
  <c r="P158" i="87"/>
  <c r="G94" i="84"/>
  <c r="G13" i="87"/>
  <c r="F41" i="87"/>
  <c r="F54" i="87"/>
  <c r="F30" i="84" a="1"/>
  <c r="F30" i="84" s="1"/>
  <c r="F53" i="84" s="1" a="1"/>
  <c r="F53" i="84" s="1"/>
  <c r="F82" i="84" s="1" a="1"/>
  <c r="F82" i="84" s="1"/>
  <c r="E42" i="86"/>
  <c r="E7" i="86"/>
  <c r="T34" i="86"/>
  <c r="J34" i="86"/>
  <c r="T27" i="86"/>
  <c r="J27" i="86"/>
  <c r="F45" i="85"/>
  <c r="G30" i="84" a="1"/>
  <c r="G30" i="84" s="1"/>
  <c r="G53" i="84" s="1" a="1"/>
  <c r="G53" i="84" s="1"/>
  <c r="G82" i="84" s="1" a="1"/>
  <c r="G82" i="84" s="1"/>
  <c r="J140" i="83"/>
  <c r="P59" i="86"/>
  <c r="T55" i="86"/>
  <c r="F59" i="86"/>
  <c r="F35" i="83" a="1"/>
  <c r="F35" i="83" s="1"/>
  <c r="E7" i="85"/>
  <c r="T22" i="85"/>
  <c r="J22" i="85"/>
  <c r="R25" i="83"/>
  <c r="H25" i="84"/>
  <c r="E30" i="84" a="1"/>
  <c r="E30" i="84" s="1"/>
  <c r="E53" i="84" s="1" a="1"/>
  <c r="E53" i="84" s="1"/>
  <c r="E82" i="84" s="1" a="1"/>
  <c r="E82" i="84" s="1"/>
  <c r="T57" i="85"/>
  <c r="D35" i="83" a="1"/>
  <c r="D35" i="83" s="1"/>
  <c r="E117" i="83" s="1" a="1"/>
  <c r="E117" i="83" s="1"/>
  <c r="G42" i="84"/>
  <c r="H77" i="84"/>
  <c r="J57" i="85"/>
  <c r="F77" i="85"/>
  <c r="F96" i="85"/>
  <c r="F138" i="84"/>
  <c r="J202" i="83"/>
  <c r="R30" i="84"/>
  <c r="E59" i="84"/>
  <c r="E7" i="84"/>
  <c r="E36" i="84"/>
  <c r="E88" i="84"/>
  <c r="E209" i="84"/>
  <c r="E117" i="84"/>
  <c r="E158" i="84"/>
  <c r="H82" i="84"/>
  <c r="R82" i="84"/>
  <c r="I108" i="84"/>
  <c r="S108" i="84"/>
  <c r="G101" i="83"/>
  <c r="H35" i="83"/>
  <c r="R35" i="83"/>
  <c r="S150" i="84"/>
  <c r="G13" i="84"/>
  <c r="P245" i="84"/>
  <c r="F245" i="84"/>
  <c r="J225" i="84"/>
  <c r="T225" i="84"/>
  <c r="T159" i="83"/>
  <c r="J159" i="83"/>
  <c r="R53" i="84"/>
  <c r="H53" i="84"/>
  <c r="F130" i="84"/>
  <c r="E124" i="83"/>
  <c r="E179" i="83"/>
  <c r="E44" i="83"/>
  <c r="E7" i="83"/>
  <c r="E95" i="83"/>
  <c r="S115" i="83"/>
  <c r="G185" i="83"/>
  <c r="H192" i="83" s="1"/>
  <c r="F73" i="83"/>
  <c r="H68" i="83"/>
  <c r="I60" i="83"/>
  <c r="G50" i="83"/>
  <c r="E35" i="83" a="1"/>
  <c r="E35" i="83" s="1"/>
  <c r="I86" i="83"/>
  <c r="F222" i="83"/>
  <c r="G13" i="83"/>
  <c r="H30" i="83"/>
  <c r="P222" i="83"/>
  <c r="G56" i="80"/>
  <c r="G57" i="80" s="1"/>
  <c r="F56" i="80"/>
  <c r="F57" i="80" s="1"/>
  <c r="F46" i="80"/>
  <c r="F47" i="80" s="1"/>
  <c r="F79" i="72"/>
  <c r="F78" i="72"/>
  <c r="F77" i="72"/>
  <c r="E79" i="72"/>
  <c r="E78" i="72"/>
  <c r="E77" i="72"/>
  <c r="G58" i="80"/>
  <c r="F60" i="80"/>
  <c r="F58" i="80"/>
  <c r="F59" i="80" s="1"/>
  <c r="F50" i="80"/>
  <c r="F48" i="80"/>
  <c r="I20" i="100" l="1"/>
  <c r="H470" i="116" a="1"/>
  <c r="H470" i="116" s="1"/>
  <c r="AE258" i="116" a="1"/>
  <c r="AE258" i="116" s="1"/>
  <c r="V12" i="100"/>
  <c r="V16" i="100"/>
  <c r="X16" i="100" s="1"/>
  <c r="V20" i="100"/>
  <c r="X20" i="100" s="1"/>
  <c r="AE257" i="116" a="1"/>
  <c r="AE257" i="116" s="1"/>
  <c r="J122" i="109" a="1"/>
  <c r="J122" i="109" s="1"/>
  <c r="J119" i="109" a="1"/>
  <c r="J119" i="109" s="1"/>
  <c r="J179" i="109" a="1"/>
  <c r="J179" i="109" s="1"/>
  <c r="AA255" i="116" a="1"/>
  <c r="AA255" i="116" s="1"/>
  <c r="S258" i="116" a="1"/>
  <c r="S258" i="116" s="1"/>
  <c r="W252" i="116" a="1"/>
  <c r="W252" i="116" s="1"/>
  <c r="AE252" i="116" a="1"/>
  <c r="AE252" i="116" s="1"/>
  <c r="J174" i="109" a="1"/>
  <c r="J174" i="109" s="1"/>
  <c r="J126" i="109" a="1"/>
  <c r="J126" i="109" s="1"/>
  <c r="J162" i="109" a="1"/>
  <c r="J162" i="109" s="1"/>
  <c r="D19" i="102"/>
  <c r="F19" i="102" s="1" a="1"/>
  <c r="F19" i="102" s="1"/>
  <c r="F29" i="102" a="1"/>
  <c r="F29" i="102" s="1"/>
  <c r="F28" i="102" a="1"/>
  <c r="F28" i="102" s="1"/>
  <c r="F27" i="102" a="1"/>
  <c r="F27" i="102" s="1"/>
  <c r="F26" i="102" a="1"/>
  <c r="F26" i="102" s="1"/>
  <c r="F25" i="102" a="1"/>
  <c r="F25" i="102" s="1"/>
  <c r="F24" i="102" a="1"/>
  <c r="F24" i="102" s="1"/>
  <c r="F37" i="102" a="1"/>
  <c r="F37" i="102" s="1"/>
  <c r="F23" i="102" a="1"/>
  <c r="F23" i="102" s="1"/>
  <c r="F35" i="102" a="1"/>
  <c r="F35" i="102" s="1"/>
  <c r="F21" i="102" a="1"/>
  <c r="F21" i="102" s="1"/>
  <c r="F34" i="102" a="1"/>
  <c r="F34" i="102" s="1"/>
  <c r="F20" i="102" a="1"/>
  <c r="F20" i="102" s="1"/>
  <c r="F32" i="102" a="1"/>
  <c r="F32" i="102" s="1"/>
  <c r="F31" i="102" a="1"/>
  <c r="F31" i="102" s="1"/>
  <c r="F36" i="102" a="1"/>
  <c r="F36" i="102" s="1"/>
  <c r="F33" i="102" a="1"/>
  <c r="F33" i="102" s="1"/>
  <c r="F30" i="102" a="1"/>
  <c r="F30" i="102" s="1"/>
  <c r="F22" i="102" a="1"/>
  <c r="F22" i="102" s="1"/>
  <c r="H452" i="116" a="1"/>
  <c r="H452" i="116" s="1"/>
  <c r="AA253" i="116" a="1"/>
  <c r="AA253" i="116" s="1"/>
  <c r="V17" i="100"/>
  <c r="X17" i="100" s="1"/>
  <c r="J117" i="109" a="1"/>
  <c r="J117" i="109" s="1"/>
  <c r="J178" i="109" a="1"/>
  <c r="J178" i="109" s="1"/>
  <c r="J137" i="109" a="1"/>
  <c r="J137" i="109" s="1"/>
  <c r="AA258" i="116" a="1"/>
  <c r="AA258" i="116" s="1"/>
  <c r="H38" i="96" a="1"/>
  <c r="H38" i="96" s="1"/>
  <c r="D19" i="101"/>
  <c r="F19" i="101" s="1" a="1"/>
  <c r="F19" i="101" s="1"/>
  <c r="F26" i="101" a="1"/>
  <c r="F26" i="101" s="1"/>
  <c r="F25" i="101" a="1"/>
  <c r="F25" i="101" s="1"/>
  <c r="F24" i="101" a="1"/>
  <c r="F24" i="101" s="1"/>
  <c r="F37" i="101" a="1"/>
  <c r="F37" i="101" s="1"/>
  <c r="F23" i="101" a="1"/>
  <c r="F23" i="101" s="1"/>
  <c r="F36" i="101" a="1"/>
  <c r="F36" i="101" s="1"/>
  <c r="F22" i="101" a="1"/>
  <c r="F22" i="101" s="1"/>
  <c r="F35" i="101" a="1"/>
  <c r="F35" i="101" s="1"/>
  <c r="F34" i="101" a="1"/>
  <c r="F34" i="101" s="1"/>
  <c r="F32" i="101" a="1"/>
  <c r="F32" i="101" s="1"/>
  <c r="F20" i="101" a="1"/>
  <c r="F20" i="101" s="1"/>
  <c r="F31" i="101" a="1"/>
  <c r="F31" i="101" s="1"/>
  <c r="F29" i="101" a="1"/>
  <c r="F29" i="101" s="1"/>
  <c r="F28" i="101" a="1"/>
  <c r="F28" i="101" s="1"/>
  <c r="F21" i="101" a="1"/>
  <c r="F21" i="101" s="1"/>
  <c r="F33" i="101" a="1"/>
  <c r="F33" i="101" s="1"/>
  <c r="F30" i="101" a="1"/>
  <c r="F30" i="101" s="1"/>
  <c r="F27" i="101" a="1"/>
  <c r="F27" i="101" s="1"/>
  <c r="AA257" i="116" a="1"/>
  <c r="AA257" i="116" s="1"/>
  <c r="F79" i="116" a="1"/>
  <c r="W256" i="116" a="1"/>
  <c r="W256" i="116" s="1"/>
  <c r="V21" i="100"/>
  <c r="X21" i="100" s="1"/>
  <c r="W255" i="116" a="1"/>
  <c r="W255" i="116" s="1"/>
  <c r="O21" i="101" a="1"/>
  <c r="J163" i="109" a="1"/>
  <c r="J163" i="109" s="1"/>
  <c r="H30" i="97"/>
  <c r="G30" i="97"/>
  <c r="K30" i="97"/>
  <c r="J30" i="97"/>
  <c r="I30" i="97"/>
  <c r="G484" i="116" a="1"/>
  <c r="G484" i="116" s="1"/>
  <c r="AA252" i="116" a="1"/>
  <c r="AA252" i="116" s="1"/>
  <c r="P20" i="83"/>
  <c r="P35" i="83" s="1" a="1"/>
  <c r="P35" i="83" s="1"/>
  <c r="P20" i="84"/>
  <c r="P30" i="84" s="1" a="1"/>
  <c r="P30" i="84" s="1"/>
  <c r="P53" i="84" s="1" a="1"/>
  <c r="P53" i="84" s="1"/>
  <c r="P82" i="84" s="1" a="1"/>
  <c r="P82" i="84" s="1"/>
  <c r="Q110" i="84" s="1" a="1"/>
  <c r="Q110" i="84" s="1"/>
  <c r="R24" i="85" s="1"/>
  <c r="R59" i="85" s="1" a="1"/>
  <c r="R59" i="85" s="1"/>
  <c r="S252" i="116" a="1"/>
  <c r="S252" i="116" s="1"/>
  <c r="AE254" i="116" a="1"/>
  <c r="AE254" i="116" s="1"/>
  <c r="J176" i="109" a="1"/>
  <c r="J176" i="109" s="1"/>
  <c r="W261" i="116" a="1"/>
  <c r="W261" i="116" s="1"/>
  <c r="J175" i="109" a="1"/>
  <c r="J175" i="109" s="1"/>
  <c r="AA259" i="116" a="1"/>
  <c r="AA259" i="116" s="1"/>
  <c r="E59" i="109"/>
  <c r="H59" i="109" s="1" a="1"/>
  <c r="H59" i="109" s="1"/>
  <c r="H90" i="109" a="1"/>
  <c r="H90" i="109" s="1"/>
  <c r="H82" i="109" a="1"/>
  <c r="H82" i="109" s="1"/>
  <c r="H74" i="109" a="1"/>
  <c r="H74" i="109" s="1"/>
  <c r="H66" i="109" a="1"/>
  <c r="H66" i="109" s="1"/>
  <c r="H85" i="109" a="1"/>
  <c r="H85" i="109" s="1"/>
  <c r="H77" i="109" a="1"/>
  <c r="H77" i="109" s="1"/>
  <c r="H69" i="109" a="1"/>
  <c r="H69" i="109" s="1"/>
  <c r="H62" i="109" a="1"/>
  <c r="H62" i="109" s="1"/>
  <c r="H86" i="109" a="1"/>
  <c r="H86" i="109" s="1"/>
  <c r="H73" i="109" a="1"/>
  <c r="H73" i="109" s="1"/>
  <c r="H61" i="109" a="1"/>
  <c r="H61" i="109" s="1"/>
  <c r="H84" i="109" a="1"/>
  <c r="H84" i="109" s="1"/>
  <c r="H72" i="109" a="1"/>
  <c r="H72" i="109" s="1"/>
  <c r="H60" i="109" a="1"/>
  <c r="H60" i="109" s="1"/>
  <c r="H83" i="109" a="1"/>
  <c r="H83" i="109" s="1"/>
  <c r="H71" i="109" a="1"/>
  <c r="H71" i="109" s="1"/>
  <c r="H80" i="109" a="1"/>
  <c r="H80" i="109" s="1"/>
  <c r="H68" i="109" a="1"/>
  <c r="H68" i="109" s="1"/>
  <c r="H92" i="109" a="1"/>
  <c r="H92" i="109" s="1"/>
  <c r="H79" i="109" a="1"/>
  <c r="H79" i="109" s="1"/>
  <c r="H67" i="109" a="1"/>
  <c r="H67" i="109" s="1"/>
  <c r="H91" i="109" a="1"/>
  <c r="H91" i="109" s="1"/>
  <c r="H78" i="109" a="1"/>
  <c r="H78" i="109" s="1"/>
  <c r="H65" i="109" a="1"/>
  <c r="H65" i="109" s="1"/>
  <c r="H89" i="109" a="1"/>
  <c r="H89" i="109" s="1"/>
  <c r="H76" i="109" a="1"/>
  <c r="H76" i="109" s="1"/>
  <c r="H64" i="109" a="1"/>
  <c r="H64" i="109" s="1"/>
  <c r="H88" i="109" a="1"/>
  <c r="H88" i="109" s="1"/>
  <c r="H75" i="109" a="1"/>
  <c r="H75" i="109" s="1"/>
  <c r="H63" i="109" a="1"/>
  <c r="H63" i="109" s="1"/>
  <c r="AA256" i="116" a="1"/>
  <c r="AA256" i="116" s="1"/>
  <c r="N20" i="83"/>
  <c r="N35" i="83" s="1" a="1"/>
  <c r="N35" i="83" s="1"/>
  <c r="O116" i="83" s="1" a="1"/>
  <c r="O116" i="83" s="1"/>
  <c r="N20" i="84"/>
  <c r="N30" i="84" s="1" a="1"/>
  <c r="N30" i="84" s="1"/>
  <c r="N53" i="84" s="1" a="1"/>
  <c r="N53" i="84" s="1"/>
  <c r="N82" i="84" s="1" a="1"/>
  <c r="N82" i="84" s="1"/>
  <c r="O109" i="84" s="1" a="1"/>
  <c r="O109" i="84" s="1"/>
  <c r="P23" i="85" s="1"/>
  <c r="P58" i="85" s="1" a="1"/>
  <c r="P58" i="85" s="1"/>
  <c r="V15" i="100"/>
  <c r="X15" i="100" s="1"/>
  <c r="W258" i="116" a="1"/>
  <c r="W258" i="116" s="1"/>
  <c r="D59" i="109"/>
  <c r="G90" i="109" a="1"/>
  <c r="G90" i="109" s="1"/>
  <c r="G82" i="109" a="1"/>
  <c r="G82" i="109" s="1"/>
  <c r="G74" i="109" a="1"/>
  <c r="G74" i="109" s="1"/>
  <c r="G66" i="109" a="1"/>
  <c r="G66" i="109" s="1"/>
  <c r="G89" i="109" a="1"/>
  <c r="G89" i="109" s="1"/>
  <c r="G80" i="109" a="1"/>
  <c r="G80" i="109" s="1"/>
  <c r="G73" i="109" a="1"/>
  <c r="G73" i="109" s="1"/>
  <c r="G65" i="109" a="1"/>
  <c r="G65" i="109" s="1"/>
  <c r="G85" i="109" a="1"/>
  <c r="G85" i="109" s="1"/>
  <c r="I85" i="109" s="1" a="1"/>
  <c r="I85" i="109" s="1"/>
  <c r="H183" i="109" s="1"/>
  <c r="G77" i="109" a="1"/>
  <c r="G77" i="109" s="1"/>
  <c r="I77" i="109" s="1" a="1"/>
  <c r="I77" i="109" s="1"/>
  <c r="H175" i="109" s="1"/>
  <c r="G69" i="109" a="1"/>
  <c r="G69" i="109" s="1"/>
  <c r="I69" i="109" s="1" a="1"/>
  <c r="I69" i="109" s="1"/>
  <c r="H167" i="109" s="1"/>
  <c r="G62" i="109" a="1"/>
  <c r="G62" i="109" s="1"/>
  <c r="I62" i="109" s="1" a="1"/>
  <c r="I62" i="109" s="1"/>
  <c r="H160" i="109" s="1"/>
  <c r="G75" i="109" a="1"/>
  <c r="G75" i="109" s="1"/>
  <c r="G63" i="109" a="1"/>
  <c r="G63" i="109" s="1"/>
  <c r="G86" i="109" a="1"/>
  <c r="G86" i="109" s="1"/>
  <c r="G61" i="109" a="1"/>
  <c r="G61" i="109" s="1"/>
  <c r="G84" i="109" a="1"/>
  <c r="G84" i="109" s="1"/>
  <c r="G72" i="109" a="1"/>
  <c r="G72" i="109" s="1"/>
  <c r="G60" i="109" a="1"/>
  <c r="G60" i="109" s="1"/>
  <c r="I60" i="109" s="1" a="1"/>
  <c r="I60" i="109" s="1"/>
  <c r="H158" i="109" s="1"/>
  <c r="G83" i="109" a="1"/>
  <c r="G83" i="109" s="1"/>
  <c r="I83" i="109" s="1" a="1"/>
  <c r="I83" i="109" s="1"/>
  <c r="H181" i="109" s="1"/>
  <c r="G71" i="109" a="1"/>
  <c r="G71" i="109" s="1"/>
  <c r="G68" i="109" a="1"/>
  <c r="G68" i="109" s="1"/>
  <c r="G92" i="109" a="1"/>
  <c r="G92" i="109" s="1"/>
  <c r="G79" i="109" a="1"/>
  <c r="G79" i="109" s="1"/>
  <c r="G67" i="109" a="1"/>
  <c r="G67" i="109" s="1"/>
  <c r="I67" i="109" s="1" a="1"/>
  <c r="I67" i="109" s="1"/>
  <c r="H165" i="109" s="1"/>
  <c r="G91" i="109" a="1"/>
  <c r="G91" i="109" s="1"/>
  <c r="I91" i="109" s="1" a="1"/>
  <c r="I91" i="109" s="1"/>
  <c r="H189" i="109" s="1"/>
  <c r="G78" i="109" a="1"/>
  <c r="G78" i="109" s="1"/>
  <c r="G76" i="109" a="1"/>
  <c r="G76" i="109" s="1"/>
  <c r="G64" i="109" a="1"/>
  <c r="G64" i="109" s="1"/>
  <c r="G88" i="109" a="1"/>
  <c r="G88" i="109" s="1"/>
  <c r="J123" i="109" a="1"/>
  <c r="J123" i="109" s="1"/>
  <c r="K25" i="96" a="1"/>
  <c r="K25" i="96" s="1"/>
  <c r="Q25" i="96" s="1" a="1"/>
  <c r="Q25" i="96" s="1"/>
  <c r="G87" i="116" a="1"/>
  <c r="G87" i="116" s="1"/>
  <c r="Q35" i="97" a="1"/>
  <c r="Q35" i="97" s="1"/>
  <c r="J166" i="109" a="1"/>
  <c r="J166" i="109" s="1"/>
  <c r="V13" i="100"/>
  <c r="W253" i="116" a="1"/>
  <c r="W253" i="116" s="1"/>
  <c r="J160" i="109" a="1"/>
  <c r="J160" i="109" s="1"/>
  <c r="J25" i="96" a="1"/>
  <c r="J25" i="96" s="1"/>
  <c r="K35" i="97"/>
  <c r="I35" i="97"/>
  <c r="J35" i="97"/>
  <c r="H35" i="97"/>
  <c r="G35" i="97"/>
  <c r="P21" i="101" a="1"/>
  <c r="S254" i="116" a="1"/>
  <c r="S254" i="116" s="1"/>
  <c r="K32" i="97"/>
  <c r="Q32" i="97" s="1" a="1"/>
  <c r="Q32" i="97" s="1"/>
  <c r="J32" i="97"/>
  <c r="H32" i="97"/>
  <c r="I32" i="97"/>
  <c r="G32" i="97"/>
  <c r="J173" i="109" a="1"/>
  <c r="J173" i="109" s="1"/>
  <c r="I36" i="97"/>
  <c r="H36" i="97"/>
  <c r="K36" i="97"/>
  <c r="J36" i="97"/>
  <c r="G36" i="97"/>
  <c r="J185" i="109" a="1"/>
  <c r="J185" i="109" s="1"/>
  <c r="V14" i="100"/>
  <c r="AE256" i="116" a="1"/>
  <c r="AE256" i="116" s="1"/>
  <c r="J167" i="109" a="1"/>
  <c r="J167" i="109" s="1"/>
  <c r="AA254" i="116" a="1"/>
  <c r="AA254" i="116" s="1"/>
  <c r="J158" i="109" a="1"/>
  <c r="J158" i="109" s="1"/>
  <c r="G31" i="97"/>
  <c r="K31" i="97"/>
  <c r="J31" i="97"/>
  <c r="I31" i="97"/>
  <c r="H31" i="97"/>
  <c r="J165" i="109" a="1"/>
  <c r="J165" i="109" s="1"/>
  <c r="X14" i="100"/>
  <c r="W260" i="116" a="1"/>
  <c r="W260" i="116" s="1"/>
  <c r="K260" i="116" s="1" a="1"/>
  <c r="K260" i="116" s="1"/>
  <c r="J168" i="109" a="1"/>
  <c r="J168" i="109" s="1"/>
  <c r="AA261" i="116" a="1"/>
  <c r="AA261" i="116" s="1"/>
  <c r="S261" i="116" a="1"/>
  <c r="S261" i="116" s="1"/>
  <c r="S257" i="116" a="1"/>
  <c r="S257" i="116" s="1"/>
  <c r="W259" i="116" a="1"/>
  <c r="W259" i="116" s="1"/>
  <c r="V18" i="100"/>
  <c r="X18" i="100" s="1"/>
  <c r="AE253" i="116" a="1"/>
  <c r="AE253" i="116" s="1"/>
  <c r="F253" i="116" s="1" a="1"/>
  <c r="F253" i="116" s="1"/>
  <c r="G253" i="116" s="1" a="1"/>
  <c r="G253" i="116" s="1"/>
  <c r="J177" i="109" a="1"/>
  <c r="J177" i="109" s="1"/>
  <c r="L35" i="97" a="1"/>
  <c r="L35" i="97" s="1"/>
  <c r="D21" i="109"/>
  <c r="G170" i="109" a="1"/>
  <c r="G170" i="109" s="1"/>
  <c r="G162" i="109" a="1"/>
  <c r="G162" i="109" s="1"/>
  <c r="G148" i="109" a="1"/>
  <c r="G148" i="109" s="1"/>
  <c r="G136" i="109" a="1"/>
  <c r="G136" i="109" s="1"/>
  <c r="G178" i="109" a="1"/>
  <c r="G178" i="109" s="1"/>
  <c r="G169" i="109" a="1"/>
  <c r="G169" i="109" s="1"/>
  <c r="G147" i="109" a="1"/>
  <c r="G147" i="109" s="1"/>
  <c r="G126" i="109" a="1"/>
  <c r="G126" i="109" s="1"/>
  <c r="G119" i="109" a="1"/>
  <c r="G119" i="109" s="1"/>
  <c r="G48" i="109" a="1"/>
  <c r="G48" i="109" s="1"/>
  <c r="G40" i="109" a="1"/>
  <c r="G40" i="109" s="1"/>
  <c r="G33" i="109" a="1"/>
  <c r="G33" i="109" s="1"/>
  <c r="G25" i="109" a="1"/>
  <c r="G25" i="109" s="1"/>
  <c r="G190" i="109" a="1"/>
  <c r="G190" i="109" s="1"/>
  <c r="G189" i="109" a="1"/>
  <c r="G189" i="109" s="1"/>
  <c r="G177" i="109" a="1"/>
  <c r="G177" i="109" s="1"/>
  <c r="G145" i="109" a="1"/>
  <c r="G145" i="109" s="1"/>
  <c r="G125" i="109" a="1"/>
  <c r="G125" i="109" s="1"/>
  <c r="G118" i="109" a="1"/>
  <c r="G118" i="109" s="1"/>
  <c r="G47" i="109" a="1"/>
  <c r="G47" i="109" s="1"/>
  <c r="G39" i="109" a="1"/>
  <c r="G39" i="109" s="1"/>
  <c r="G31" i="109" a="1"/>
  <c r="G31" i="109" s="1"/>
  <c r="I31" i="109" s="1" a="1"/>
  <c r="I31" i="109" s="1"/>
  <c r="H126" i="109" s="1"/>
  <c r="I126" i="109" s="1"/>
  <c r="G24" i="109" a="1"/>
  <c r="G24" i="109" s="1"/>
  <c r="I24" i="109" s="1" a="1"/>
  <c r="I24" i="109" s="1"/>
  <c r="H119" i="109" s="1"/>
  <c r="I119" i="109" s="1"/>
  <c r="G188" i="109" a="1"/>
  <c r="G188" i="109" s="1"/>
  <c r="G167" i="109" a="1"/>
  <c r="G167" i="109" s="1"/>
  <c r="G160" i="109" a="1"/>
  <c r="G160" i="109" s="1"/>
  <c r="G134" i="109" a="1"/>
  <c r="G134" i="109" s="1"/>
  <c r="G184" i="109" a="1"/>
  <c r="G184" i="109" s="1"/>
  <c r="G165" i="109" a="1"/>
  <c r="G165" i="109" s="1"/>
  <c r="G158" i="109" a="1"/>
  <c r="G158" i="109" s="1"/>
  <c r="G140" i="109" a="1"/>
  <c r="G140" i="109" s="1"/>
  <c r="G132" i="109" a="1"/>
  <c r="G132" i="109" s="1"/>
  <c r="G183" i="109" a="1"/>
  <c r="G183" i="109" s="1"/>
  <c r="G174" i="109" a="1"/>
  <c r="G174" i="109" s="1"/>
  <c r="G139" i="109" a="1"/>
  <c r="G139" i="109" s="1"/>
  <c r="G131" i="109" a="1"/>
  <c r="G131" i="109" s="1"/>
  <c r="G122" i="109" a="1"/>
  <c r="G122" i="109" s="1"/>
  <c r="G52" i="109" a="1"/>
  <c r="G52" i="109" s="1"/>
  <c r="G44" i="109" a="1"/>
  <c r="G44" i="109" s="1"/>
  <c r="I44" i="109" s="1" a="1"/>
  <c r="I44" i="109" s="1"/>
  <c r="H139" i="109" s="1"/>
  <c r="G36" i="109" a="1"/>
  <c r="G36" i="109" s="1"/>
  <c r="G28" i="109" a="1"/>
  <c r="G28" i="109" s="1"/>
  <c r="G121" i="109" a="1"/>
  <c r="G121" i="109" s="1"/>
  <c r="G175" i="109" a="1"/>
  <c r="G175" i="109" s="1"/>
  <c r="G159" i="109" a="1"/>
  <c r="G159" i="109" s="1"/>
  <c r="G135" i="109" a="1"/>
  <c r="G135" i="109" s="1"/>
  <c r="G35" i="109" a="1"/>
  <c r="G35" i="109" s="1"/>
  <c r="G23" i="109" a="1"/>
  <c r="G23" i="109" s="1"/>
  <c r="G120" i="109" a="1"/>
  <c r="G120" i="109" s="1"/>
  <c r="G46" i="109" a="1"/>
  <c r="G46" i="109" s="1"/>
  <c r="G173" i="109" a="1"/>
  <c r="G173" i="109" s="1"/>
  <c r="G133" i="109" a="1"/>
  <c r="G133" i="109" s="1"/>
  <c r="G34" i="109" a="1"/>
  <c r="G34" i="109" s="1"/>
  <c r="G22" i="109" a="1"/>
  <c r="G22" i="109" s="1"/>
  <c r="I22" i="109" s="1" a="1"/>
  <c r="I22" i="109" s="1"/>
  <c r="H117" i="109" s="1"/>
  <c r="G172" i="109" a="1"/>
  <c r="G172" i="109" s="1"/>
  <c r="G117" i="109" a="1"/>
  <c r="G117" i="109" s="1"/>
  <c r="G45" i="109" a="1"/>
  <c r="G45" i="109" s="1"/>
  <c r="I45" i="109" s="1" a="1"/>
  <c r="I45" i="109" s="1"/>
  <c r="H140" i="109" s="1"/>
  <c r="G171" i="109" a="1"/>
  <c r="G171" i="109" s="1"/>
  <c r="G130" i="109" a="1"/>
  <c r="G130" i="109" s="1"/>
  <c r="G187" i="109" a="1"/>
  <c r="G187" i="109" s="1"/>
  <c r="G149" i="109" a="1"/>
  <c r="G149" i="109" s="1"/>
  <c r="G129" i="109" a="1"/>
  <c r="G129" i="109" s="1"/>
  <c r="G42" i="109" a="1"/>
  <c r="G42" i="109" s="1"/>
  <c r="G30" i="109" a="1"/>
  <c r="G30" i="109" s="1"/>
  <c r="G186" i="109" a="1"/>
  <c r="G186" i="109" s="1"/>
  <c r="G166" i="109" a="1"/>
  <c r="G166" i="109" s="1"/>
  <c r="G146" i="109" a="1"/>
  <c r="G146" i="109" s="1"/>
  <c r="G128" i="109" a="1"/>
  <c r="G128" i="109" s="1"/>
  <c r="G54" i="109" a="1"/>
  <c r="G54" i="109" s="1"/>
  <c r="G143" i="109" a="1"/>
  <c r="G143" i="109" s="1"/>
  <c r="G41" i="109" a="1"/>
  <c r="G41" i="109" s="1"/>
  <c r="G29" i="109" a="1"/>
  <c r="G29" i="109" s="1"/>
  <c r="G182" i="109" a="1"/>
  <c r="G182" i="109" s="1"/>
  <c r="G164" i="109" a="1"/>
  <c r="G164" i="109" s="1"/>
  <c r="G142" i="109" a="1"/>
  <c r="G142" i="109" s="1"/>
  <c r="G53" i="109" a="1"/>
  <c r="G53" i="109" s="1"/>
  <c r="G181" i="109" a="1"/>
  <c r="G181" i="109" s="1"/>
  <c r="G141" i="109" a="1"/>
  <c r="G141" i="109" s="1"/>
  <c r="G124" i="109" a="1"/>
  <c r="G124" i="109" s="1"/>
  <c r="G27" i="109" a="1"/>
  <c r="G27" i="109" s="1"/>
  <c r="G180" i="109" a="1"/>
  <c r="G180" i="109" s="1"/>
  <c r="G163" i="109" a="1"/>
  <c r="G163" i="109" s="1"/>
  <c r="G51" i="109" a="1"/>
  <c r="G51" i="109" s="1"/>
  <c r="I51" i="109" s="1" a="1"/>
  <c r="I51" i="109" s="1"/>
  <c r="H146" i="109" s="1"/>
  <c r="G38" i="109" a="1"/>
  <c r="G38" i="109" s="1"/>
  <c r="G123" i="109" a="1"/>
  <c r="G123" i="109" s="1"/>
  <c r="G26" i="109" a="1"/>
  <c r="G26" i="109" s="1"/>
  <c r="G176" i="109" a="1"/>
  <c r="G176" i="109" s="1"/>
  <c r="G161" i="109" a="1"/>
  <c r="G161" i="109" s="1"/>
  <c r="G137" i="109" a="1"/>
  <c r="G137" i="109" s="1"/>
  <c r="G50" i="109" a="1"/>
  <c r="G50" i="109" s="1"/>
  <c r="I50" i="109" s="1" a="1"/>
  <c r="I50" i="109" s="1"/>
  <c r="H145" i="109" s="1"/>
  <c r="G37" i="109" a="1"/>
  <c r="G37" i="109" s="1"/>
  <c r="AE261" i="116" a="1"/>
  <c r="AE261" i="116" s="1"/>
  <c r="AE259" i="116" a="1"/>
  <c r="AE259" i="116" s="1"/>
  <c r="H391" i="116" a="1"/>
  <c r="H391" i="116" s="1"/>
  <c r="AE255" i="116" a="1"/>
  <c r="AE255" i="116" s="1"/>
  <c r="G34" i="97"/>
  <c r="I34" i="97"/>
  <c r="H34" i="97"/>
  <c r="K34" i="97"/>
  <c r="J34" i="97"/>
  <c r="E21" i="109"/>
  <c r="H21" i="109" s="1" a="1"/>
  <c r="H21" i="109" s="1"/>
  <c r="H48" i="109" a="1"/>
  <c r="H48" i="109" s="1"/>
  <c r="H40" i="109" a="1"/>
  <c r="H40" i="109" s="1"/>
  <c r="H33" i="109" a="1"/>
  <c r="H33" i="109" s="1"/>
  <c r="I33" i="109" s="1" a="1"/>
  <c r="I33" i="109" s="1"/>
  <c r="H128" i="109" s="1"/>
  <c r="H25" i="109" a="1"/>
  <c r="H25" i="109" s="1"/>
  <c r="H52" i="109" a="1"/>
  <c r="H52" i="109" s="1"/>
  <c r="H44" i="109" a="1"/>
  <c r="H44" i="109" s="1"/>
  <c r="H36" i="109" a="1"/>
  <c r="H36" i="109" s="1"/>
  <c r="H28" i="109" a="1"/>
  <c r="H28" i="109" s="1"/>
  <c r="H47" i="109" a="1"/>
  <c r="H47" i="109" s="1"/>
  <c r="H35" i="109" a="1"/>
  <c r="H35" i="109" s="1"/>
  <c r="H23" i="109" a="1"/>
  <c r="H23" i="109" s="1"/>
  <c r="H46" i="109" a="1"/>
  <c r="H46" i="109" s="1"/>
  <c r="H34" i="109" a="1"/>
  <c r="H34" i="109" s="1"/>
  <c r="H22" i="109" a="1"/>
  <c r="H22" i="109" s="1"/>
  <c r="H45" i="109" a="1"/>
  <c r="H45" i="109" s="1"/>
  <c r="H31" i="109" a="1"/>
  <c r="H31" i="109" s="1"/>
  <c r="H42" i="109" a="1"/>
  <c r="H42" i="109" s="1"/>
  <c r="H30" i="109" a="1"/>
  <c r="H30" i="109" s="1"/>
  <c r="H54" i="109" a="1"/>
  <c r="H54" i="109" s="1"/>
  <c r="H41" i="109" a="1"/>
  <c r="H41" i="109" s="1"/>
  <c r="H29" i="109" a="1"/>
  <c r="H29" i="109" s="1"/>
  <c r="H53" i="109" a="1"/>
  <c r="H53" i="109" s="1"/>
  <c r="H39" i="109" a="1"/>
  <c r="H39" i="109" s="1"/>
  <c r="H27" i="109" a="1"/>
  <c r="H27" i="109" s="1"/>
  <c r="H51" i="109" a="1"/>
  <c r="H51" i="109" s="1"/>
  <c r="H38" i="109" a="1"/>
  <c r="H38" i="109" s="1"/>
  <c r="H26" i="109" a="1"/>
  <c r="H26" i="109" s="1"/>
  <c r="H50" i="109" a="1"/>
  <c r="H50" i="109" s="1"/>
  <c r="H37" i="109" a="1"/>
  <c r="H37" i="109" s="1"/>
  <c r="H24" i="109" a="1"/>
  <c r="H24" i="109" s="1"/>
  <c r="H33" i="97"/>
  <c r="N33" i="97" s="1" a="1"/>
  <c r="N33" i="97" s="1"/>
  <c r="G33" i="97"/>
  <c r="K33" i="97"/>
  <c r="Q33" i="97" s="1" a="1"/>
  <c r="Q33" i="97" s="1"/>
  <c r="J33" i="97"/>
  <c r="I33" i="97"/>
  <c r="W257" i="116" a="1"/>
  <c r="W257" i="116" s="1"/>
  <c r="J135" i="109" a="1"/>
  <c r="J135" i="109" s="1"/>
  <c r="D19" i="105"/>
  <c r="F19" i="105" s="1" a="1"/>
  <c r="F19" i="105" s="1"/>
  <c r="G19" i="105" s="1" a="1"/>
  <c r="G19" i="105" s="1"/>
  <c r="F34" i="105" a="1"/>
  <c r="F34" i="105" s="1"/>
  <c r="G34" i="105" s="1" a="1"/>
  <c r="G34" i="105" s="1"/>
  <c r="F27" i="105" a="1"/>
  <c r="F27" i="105" s="1"/>
  <c r="G27" i="105" s="1" a="1"/>
  <c r="G27" i="105" s="1"/>
  <c r="F20" i="105" a="1"/>
  <c r="F20" i="105" s="1"/>
  <c r="G20" i="105" s="1" a="1"/>
  <c r="G20" i="105" s="1"/>
  <c r="F33" i="105" a="1"/>
  <c r="F33" i="105" s="1"/>
  <c r="G33" i="105" s="1" a="1"/>
  <c r="G33" i="105" s="1"/>
  <c r="F26" i="105" a="1"/>
  <c r="F26" i="105" s="1"/>
  <c r="G26" i="105" s="1" a="1"/>
  <c r="G26" i="105" s="1"/>
  <c r="F32" i="105" a="1"/>
  <c r="F32" i="105" s="1"/>
  <c r="G32" i="105" s="1" a="1"/>
  <c r="G32" i="105" s="1"/>
  <c r="F25" i="105" a="1"/>
  <c r="F25" i="105" s="1"/>
  <c r="G25" i="105" s="1" a="1"/>
  <c r="G25" i="105" s="1"/>
  <c r="F31" i="105" a="1"/>
  <c r="F31" i="105" s="1"/>
  <c r="G31" i="105" s="1" a="1"/>
  <c r="G31" i="105" s="1"/>
  <c r="F24" i="105" a="1"/>
  <c r="F24" i="105" s="1"/>
  <c r="G24" i="105" s="1" a="1"/>
  <c r="G24" i="105" s="1"/>
  <c r="F37" i="105" a="1"/>
  <c r="F37" i="105" s="1"/>
  <c r="G37" i="105" s="1" a="1"/>
  <c r="G37" i="105" s="1"/>
  <c r="F30" i="105" a="1"/>
  <c r="F30" i="105" s="1"/>
  <c r="G30" i="105" s="1" a="1"/>
  <c r="G30" i="105" s="1"/>
  <c r="F23" i="105" a="1"/>
  <c r="F23" i="105" s="1"/>
  <c r="G23" i="105" s="1" a="1"/>
  <c r="G23" i="105" s="1"/>
  <c r="F35" i="105" a="1"/>
  <c r="F35" i="105" s="1"/>
  <c r="G35" i="105" s="1" a="1"/>
  <c r="G35" i="105" s="1"/>
  <c r="F28" i="105" a="1"/>
  <c r="F28" i="105" s="1"/>
  <c r="G28" i="105" s="1" a="1"/>
  <c r="G28" i="105" s="1"/>
  <c r="F21" i="105" a="1"/>
  <c r="F21" i="105" s="1"/>
  <c r="G21" i="105" s="1" a="1"/>
  <c r="G21" i="105" s="1"/>
  <c r="F36" i="105" a="1"/>
  <c r="F36" i="105" s="1"/>
  <c r="G36" i="105" s="1" a="1"/>
  <c r="G36" i="105" s="1"/>
  <c r="F29" i="105" a="1"/>
  <c r="F29" i="105" s="1"/>
  <c r="G29" i="105" s="1" a="1"/>
  <c r="G29" i="105" s="1"/>
  <c r="F22" i="105" a="1"/>
  <c r="F22" i="105" s="1"/>
  <c r="G22" i="105" s="1" a="1"/>
  <c r="G22" i="105" s="1"/>
  <c r="S253" i="116" a="1"/>
  <c r="S253" i="116" s="1"/>
  <c r="W254" i="116" a="1"/>
  <c r="W254" i="116" s="1"/>
  <c r="K254" i="116" s="1" a="1"/>
  <c r="K254" i="116" s="1"/>
  <c r="S256" i="116" a="1"/>
  <c r="S256" i="116" s="1"/>
  <c r="H256" i="116" s="1" a="1"/>
  <c r="H256" i="116" s="1"/>
  <c r="S259" i="116" a="1"/>
  <c r="S259" i="116" s="1"/>
  <c r="Q20" i="84"/>
  <c r="Q30" i="84" s="1" a="1"/>
  <c r="Q30" i="84" s="1"/>
  <c r="Q53" i="84" s="1" a="1"/>
  <c r="Q53" i="84" s="1"/>
  <c r="Q82" i="84" s="1" a="1"/>
  <c r="Q82" i="84" s="1"/>
  <c r="R109" i="84" s="1" a="1"/>
  <c r="R109" i="84" s="1"/>
  <c r="S23" i="85" s="1"/>
  <c r="S58" i="85" s="1" a="1"/>
  <c r="S58" i="85" s="1"/>
  <c r="Q20" i="83"/>
  <c r="Q35" i="83" s="1" a="1"/>
  <c r="Q35" i="83" s="1"/>
  <c r="R116" i="83" s="1" a="1"/>
  <c r="R116" i="83" s="1"/>
  <c r="O20" i="83"/>
  <c r="O35" i="83" s="1" a="1"/>
  <c r="O35" i="83" s="1"/>
  <c r="P116" i="83" s="1" a="1"/>
  <c r="P116" i="83" s="1"/>
  <c r="O20" i="84"/>
  <c r="O30" i="84" s="1" a="1"/>
  <c r="O30" i="84" s="1"/>
  <c r="O53" i="84" s="1" a="1"/>
  <c r="O53" i="84" s="1"/>
  <c r="O82" i="84" s="1" a="1"/>
  <c r="O82" i="84" s="1"/>
  <c r="AE260" i="116" a="1"/>
  <c r="AE260" i="116" s="1"/>
  <c r="F260" i="116" s="1" a="1"/>
  <c r="F260" i="116" s="1"/>
  <c r="G260" i="116" s="1" a="1"/>
  <c r="G260" i="116" s="1"/>
  <c r="J164" i="109" a="1"/>
  <c r="J164" i="109" s="1"/>
  <c r="J161" i="109" a="1"/>
  <c r="J161" i="109" s="1"/>
  <c r="J121" i="109" a="1"/>
  <c r="J121" i="109" s="1"/>
  <c r="F23" i="85"/>
  <c r="F58" i="85" s="1" a="1"/>
  <c r="F58" i="85" s="1"/>
  <c r="E103" i="105"/>
  <c r="F103" i="105" s="1" a="1"/>
  <c r="F103" i="105" s="1"/>
  <c r="E135" i="105" s="1"/>
  <c r="E66" i="106"/>
  <c r="E102" i="105"/>
  <c r="F102" i="105" s="1" a="1"/>
  <c r="F102" i="105" s="1"/>
  <c r="E134" i="105" s="1"/>
  <c r="E65" i="106"/>
  <c r="E67" i="106"/>
  <c r="E104" i="105"/>
  <c r="F104" i="105" s="1" a="1"/>
  <c r="F104" i="105" s="1"/>
  <c r="E136" i="105" s="1"/>
  <c r="E19" i="101" a="1"/>
  <c r="E19" i="101" s="1"/>
  <c r="E36" i="102" a="1"/>
  <c r="E36" i="102" s="1"/>
  <c r="G36" i="102" s="1" a="1"/>
  <c r="G36" i="102" s="1"/>
  <c r="E29" i="102" a="1"/>
  <c r="E29" i="102" s="1"/>
  <c r="G29" i="102" s="1" a="1"/>
  <c r="G29" i="102" s="1"/>
  <c r="E22" i="102" a="1"/>
  <c r="E22" i="102" s="1"/>
  <c r="E31" i="101" a="1"/>
  <c r="E31" i="101" s="1"/>
  <c r="G31" i="101" s="1" a="1"/>
  <c r="G31" i="101" s="1"/>
  <c r="E24" i="101" a="1"/>
  <c r="E24" i="101" s="1"/>
  <c r="E32" i="102" a="1"/>
  <c r="E32" i="102" s="1"/>
  <c r="E35" i="102" a="1"/>
  <c r="E35" i="102" s="1"/>
  <c r="G35" i="102" s="1" a="1"/>
  <c r="G35" i="102" s="1"/>
  <c r="E28" i="102" a="1"/>
  <c r="E28" i="102" s="1"/>
  <c r="E21" i="102" a="1"/>
  <c r="E21" i="102" s="1"/>
  <c r="G21" i="102" s="1" a="1"/>
  <c r="G21" i="102" s="1"/>
  <c r="E37" i="101" a="1"/>
  <c r="E37" i="101" s="1"/>
  <c r="G37" i="101" s="1" a="1"/>
  <c r="G37" i="101" s="1"/>
  <c r="E30" i="101" a="1"/>
  <c r="E30" i="101" s="1"/>
  <c r="G30" i="101" s="1" a="1"/>
  <c r="G30" i="101" s="1"/>
  <c r="E23" i="101" a="1"/>
  <c r="E23" i="101" s="1"/>
  <c r="G23" i="101" s="1" a="1"/>
  <c r="G23" i="101" s="1"/>
  <c r="E27" i="101" a="1"/>
  <c r="E27" i="101" s="1"/>
  <c r="G27" i="101" s="1" a="1"/>
  <c r="G27" i="101" s="1"/>
  <c r="E34" i="102" a="1"/>
  <c r="E34" i="102" s="1"/>
  <c r="E27" i="102" a="1"/>
  <c r="E27" i="102" s="1"/>
  <c r="G27" i="102" s="1" a="1"/>
  <c r="G27" i="102" s="1"/>
  <c r="E20" i="102" a="1"/>
  <c r="E20" i="102" s="1"/>
  <c r="G20" i="102" s="1" a="1"/>
  <c r="G20" i="102" s="1"/>
  <c r="E36" i="101" a="1"/>
  <c r="E36" i="101" s="1"/>
  <c r="G36" i="101" s="1" a="1"/>
  <c r="G36" i="101" s="1"/>
  <c r="E29" i="101" a="1"/>
  <c r="E29" i="101" s="1"/>
  <c r="G29" i="101" s="1" a="1"/>
  <c r="G29" i="101" s="1"/>
  <c r="E22" i="101" a="1"/>
  <c r="E22" i="101" s="1"/>
  <c r="G22" i="101" s="1" a="1"/>
  <c r="G22" i="101" s="1"/>
  <c r="E34" i="101" a="1"/>
  <c r="E34" i="101" s="1"/>
  <c r="G34" i="101" s="1" a="1"/>
  <c r="G34" i="101" s="1"/>
  <c r="E33" i="102" a="1"/>
  <c r="E33" i="102" s="1"/>
  <c r="G33" i="102" s="1" a="1"/>
  <c r="G33" i="102" s="1"/>
  <c r="E26" i="102" a="1"/>
  <c r="E26" i="102" s="1"/>
  <c r="E19" i="102" a="1"/>
  <c r="E19" i="102" s="1"/>
  <c r="E35" i="101" a="1"/>
  <c r="E35" i="101" s="1"/>
  <c r="G35" i="101" s="1" a="1"/>
  <c r="G35" i="101" s="1"/>
  <c r="E28" i="101" a="1"/>
  <c r="E28" i="101" s="1"/>
  <c r="E31" i="102" a="1"/>
  <c r="E31" i="102" s="1"/>
  <c r="G31" i="102" s="1" a="1"/>
  <c r="G31" i="102" s="1"/>
  <c r="E24" i="102" a="1"/>
  <c r="E24" i="102" s="1"/>
  <c r="G24" i="102" s="1" a="1"/>
  <c r="G24" i="102" s="1"/>
  <c r="E33" i="101" a="1"/>
  <c r="E33" i="101" s="1"/>
  <c r="G33" i="101" s="1" a="1"/>
  <c r="G33" i="101" s="1"/>
  <c r="E26" i="101" a="1"/>
  <c r="E26" i="101" s="1"/>
  <c r="E20" i="101" a="1"/>
  <c r="E20" i="101" s="1"/>
  <c r="G20" i="101" s="1" a="1"/>
  <c r="G20" i="101" s="1"/>
  <c r="E21" i="101" a="1"/>
  <c r="E21" i="101" s="1"/>
  <c r="G21" i="101" s="1" a="1"/>
  <c r="G21" i="101" s="1"/>
  <c r="E37" i="102" a="1"/>
  <c r="E37" i="102" s="1"/>
  <c r="G37" i="102" s="1" a="1"/>
  <c r="G37" i="102" s="1"/>
  <c r="E30" i="102" a="1"/>
  <c r="E30" i="102" s="1"/>
  <c r="G30" i="102" s="1" a="1"/>
  <c r="G30" i="102" s="1"/>
  <c r="E23" i="102" a="1"/>
  <c r="E23" i="102" s="1"/>
  <c r="G23" i="102" s="1" a="1"/>
  <c r="G23" i="102" s="1"/>
  <c r="E32" i="101" a="1"/>
  <c r="E32" i="101" s="1"/>
  <c r="G32" i="101" s="1" a="1"/>
  <c r="G32" i="101" s="1"/>
  <c r="E25" i="101" a="1"/>
  <c r="E25" i="101" s="1"/>
  <c r="G25" i="101" s="1" a="1"/>
  <c r="G25" i="101" s="1"/>
  <c r="E25" i="102" a="1"/>
  <c r="E25" i="102" s="1"/>
  <c r="G25" i="102" s="1" a="1"/>
  <c r="G25" i="102" s="1"/>
  <c r="P21" i="101"/>
  <c r="Q29" i="101"/>
  <c r="AA242" i="116" a="1"/>
  <c r="AA242" i="116" s="1"/>
  <c r="AM240" i="116" a="1"/>
  <c r="AM240" i="116" s="1"/>
  <c r="AM236" i="116" a="1"/>
  <c r="AM236" i="116" s="1"/>
  <c r="S240" i="116" a="1"/>
  <c r="S240" i="116" s="1"/>
  <c r="AE236" i="116" a="1"/>
  <c r="AE236" i="116" s="1"/>
  <c r="AI243" i="116" a="1"/>
  <c r="AI243" i="116" s="1"/>
  <c r="AE239" i="116" a="1"/>
  <c r="AE239" i="116" s="1"/>
  <c r="S238" i="116" a="1"/>
  <c r="S238" i="116" s="1"/>
  <c r="E236" i="116" a="1"/>
  <c r="J241" i="116" s="1" a="1"/>
  <c r="J241" i="116" s="1"/>
  <c r="AI245" i="116" a="1"/>
  <c r="AI245" i="116" s="1"/>
  <c r="AI244" i="116" a="1"/>
  <c r="AI244" i="116" s="1"/>
  <c r="AI241" i="116" a="1"/>
  <c r="AI241" i="116" s="1"/>
  <c r="AE240" i="116" a="1"/>
  <c r="AE240" i="116" s="1"/>
  <c r="AE238" i="116" a="1"/>
  <c r="AE238" i="116" s="1"/>
  <c r="AA244" i="116" a="1"/>
  <c r="AA244" i="116" s="1"/>
  <c r="AA237" i="116" a="1"/>
  <c r="AA237" i="116" s="1"/>
  <c r="AA239" i="116" a="1"/>
  <c r="AA239" i="116" s="1"/>
  <c r="AA243" i="116" a="1"/>
  <c r="AA243" i="116" s="1"/>
  <c r="Y236" i="116"/>
  <c r="AA236" i="116" s="1" a="1"/>
  <c r="AA236" i="116" s="1"/>
  <c r="AA238" i="116" a="1"/>
  <c r="AA238" i="116" s="1"/>
  <c r="AA245" i="116" a="1"/>
  <c r="AA245" i="116" s="1"/>
  <c r="W244" i="116" a="1"/>
  <c r="W244" i="116" s="1"/>
  <c r="W239" i="116" a="1"/>
  <c r="W239" i="116" s="1"/>
  <c r="S239" i="116" a="1"/>
  <c r="S239" i="116" s="1"/>
  <c r="S242" i="116" a="1"/>
  <c r="S242" i="116" s="1"/>
  <c r="S243" i="116" a="1"/>
  <c r="S243" i="116" s="1"/>
  <c r="AI238" i="116" a="1"/>
  <c r="AI238" i="116" s="1"/>
  <c r="W236" i="116" a="1"/>
  <c r="W236" i="116" s="1"/>
  <c r="AI239" i="116" a="1"/>
  <c r="AI239" i="116" s="1"/>
  <c r="AA241" i="116" a="1"/>
  <c r="AA241" i="116" s="1"/>
  <c r="S245" i="116" a="1"/>
  <c r="S245" i="116" s="1"/>
  <c r="AI242" i="116" a="1"/>
  <c r="AI242" i="116" s="1"/>
  <c r="AE242" i="116" a="1"/>
  <c r="AE242" i="116" s="1"/>
  <c r="AM242" i="116" a="1"/>
  <c r="AM242" i="116" s="1"/>
  <c r="S241" i="116" a="1"/>
  <c r="S241" i="116" s="1"/>
  <c r="AE243" i="116" a="1"/>
  <c r="AE243" i="116" s="1"/>
  <c r="AM243" i="116" a="1"/>
  <c r="AM243" i="116" s="1"/>
  <c r="AI236" i="116" a="1"/>
  <c r="AI236" i="116" s="1"/>
  <c r="W238" i="116" a="1"/>
  <c r="W238" i="116" s="1"/>
  <c r="AE244" i="116" a="1"/>
  <c r="AE244" i="116" s="1"/>
  <c r="AM241" i="116" a="1"/>
  <c r="AM241" i="116" s="1"/>
  <c r="AM245" i="116" a="1"/>
  <c r="AM245" i="116" s="1"/>
  <c r="AM238" i="116" a="1"/>
  <c r="AM238" i="116" s="1"/>
  <c r="W241" i="116" a="1"/>
  <c r="W241" i="116" s="1"/>
  <c r="AE245" i="116" a="1"/>
  <c r="AE245" i="116" s="1"/>
  <c r="AM239" i="116" a="1"/>
  <c r="AM239" i="116" s="1"/>
  <c r="AM244" i="116" a="1"/>
  <c r="AM244" i="116" s="1"/>
  <c r="AM237" i="116" a="1"/>
  <c r="AM237" i="116" s="1"/>
  <c r="AI237" i="116" a="1"/>
  <c r="AI237" i="116" s="1"/>
  <c r="AI240" i="116" a="1"/>
  <c r="AI240" i="116" s="1"/>
  <c r="AE241" i="116" a="1"/>
  <c r="AE241" i="116" s="1"/>
  <c r="AE237" i="116" a="1"/>
  <c r="AE237" i="116" s="1"/>
  <c r="AA240" i="116" a="1"/>
  <c r="AA240" i="116" s="1"/>
  <c r="W242" i="116" a="1"/>
  <c r="W242" i="116" s="1"/>
  <c r="W245" i="116" a="1"/>
  <c r="W245" i="116" s="1"/>
  <c r="W237" i="116" a="1"/>
  <c r="W237" i="116" s="1"/>
  <c r="W240" i="116" a="1"/>
  <c r="W240" i="116" s="1"/>
  <c r="W243" i="116" a="1"/>
  <c r="W243" i="116" s="1"/>
  <c r="Q236" i="116"/>
  <c r="S236" i="116" s="1" a="1"/>
  <c r="S236" i="116" s="1"/>
  <c r="S237" i="116" a="1"/>
  <c r="S237" i="116" s="1"/>
  <c r="S244" i="116" a="1"/>
  <c r="S244" i="116" s="1"/>
  <c r="E488" i="116"/>
  <c r="K255" i="116" a="1"/>
  <c r="K255" i="116" s="1"/>
  <c r="K259" i="116" a="1"/>
  <c r="K259" i="116" s="1"/>
  <c r="E181" i="116"/>
  <c r="E143" i="116"/>
  <c r="J26" i="116" a="1"/>
  <c r="J26" i="116" s="1"/>
  <c r="Q30" i="97" a="1"/>
  <c r="Q30" i="97" s="1"/>
  <c r="P38" i="96" a="1"/>
  <c r="P38" i="96" s="1"/>
  <c r="O38" i="96" a="1"/>
  <c r="O38" i="96" s="1"/>
  <c r="O35" i="96" a="1"/>
  <c r="O35" i="96" s="1"/>
  <c r="Q35" i="96" a="1"/>
  <c r="Q35" i="96" s="1"/>
  <c r="P35" i="96" a="1"/>
  <c r="P35" i="96" s="1"/>
  <c r="N34" i="96" a="1"/>
  <c r="N34" i="96" s="1"/>
  <c r="N31" i="96" a="1"/>
  <c r="N31" i="96" s="1"/>
  <c r="N25" i="96" a="1"/>
  <c r="N25" i="96" s="1"/>
  <c r="O28" i="96" a="1"/>
  <c r="O28" i="96" s="1"/>
  <c r="Q28" i="96" a="1"/>
  <c r="Q28" i="96" s="1"/>
  <c r="N28" i="96" a="1"/>
  <c r="N28" i="96" s="1"/>
  <c r="O26" i="96" a="1"/>
  <c r="O26" i="96" s="1"/>
  <c r="O31" i="96" a="1"/>
  <c r="O31" i="96" s="1"/>
  <c r="P31" i="96" a="1"/>
  <c r="P31" i="96" s="1"/>
  <c r="P26" i="96" a="1"/>
  <c r="P26" i="96" s="1"/>
  <c r="Q26" i="96" a="1"/>
  <c r="Q26" i="96" s="1"/>
  <c r="E487" i="116"/>
  <c r="F125" i="116"/>
  <c r="G125" i="116" s="1" a="1"/>
  <c r="G125" i="116" s="1"/>
  <c r="E156" i="116"/>
  <c r="E155" i="116"/>
  <c r="E498" i="116"/>
  <c r="E654" i="116"/>
  <c r="K258" i="116" a="1"/>
  <c r="K258" i="116" s="1"/>
  <c r="F259" i="116" a="1"/>
  <c r="F259" i="116" s="1"/>
  <c r="G259" i="116" s="1" a="1"/>
  <c r="G259" i="116" s="1"/>
  <c r="J25" i="116" a="1"/>
  <c r="J25" i="116" s="1"/>
  <c r="H384" i="116" a="1"/>
  <c r="H384" i="116" s="1"/>
  <c r="J29" i="116" a="1"/>
  <c r="J29" i="116" s="1"/>
  <c r="G124" i="116" a="1"/>
  <c r="G124" i="116" s="1"/>
  <c r="E142" i="116"/>
  <c r="I123" i="116" a="1"/>
  <c r="I123" i="116" s="1"/>
  <c r="G123" i="116" a="1"/>
  <c r="G123" i="116" s="1"/>
  <c r="H259" i="116" a="1"/>
  <c r="H259" i="116" s="1"/>
  <c r="M28" i="116" a="1"/>
  <c r="M28" i="116" s="1"/>
  <c r="H261" i="116" a="1"/>
  <c r="H261" i="116" s="1"/>
  <c r="H257" i="116" a="1"/>
  <c r="H257" i="116" s="1"/>
  <c r="E517" i="116"/>
  <c r="E426" i="116"/>
  <c r="J30" i="116" a="1"/>
  <c r="J30" i="116" s="1"/>
  <c r="E54" i="116"/>
  <c r="F255" i="116" a="1"/>
  <c r="F255" i="116" s="1"/>
  <c r="G255" i="116" s="1" a="1"/>
  <c r="G255" i="116" s="1"/>
  <c r="F257" i="116" a="1"/>
  <c r="F257" i="116" s="1"/>
  <c r="G257" i="116" s="1" a="1"/>
  <c r="G257" i="116" s="1"/>
  <c r="F128" i="116"/>
  <c r="G128" i="116" s="1" a="1"/>
  <c r="G128" i="116" s="1"/>
  <c r="F126" i="116"/>
  <c r="G126" i="116" s="1" a="1"/>
  <c r="G126" i="116" s="1"/>
  <c r="F261" i="116" a="1"/>
  <c r="F261" i="116" s="1"/>
  <c r="G261" i="116" s="1" a="1"/>
  <c r="G261" i="116" s="1"/>
  <c r="F258" i="116" a="1"/>
  <c r="F258" i="116" s="1"/>
  <c r="G258" i="116" s="1" a="1"/>
  <c r="G258" i="116" s="1"/>
  <c r="J27" i="116" a="1"/>
  <c r="J27" i="116" s="1"/>
  <c r="F122" i="116"/>
  <c r="G122" i="116" s="1" a="1"/>
  <c r="G122" i="116" s="1"/>
  <c r="F252" i="116" a="1"/>
  <c r="F252" i="116" s="1"/>
  <c r="G252" i="116" s="1" a="1"/>
  <c r="G252" i="116" s="1"/>
  <c r="G129" i="116" a="1"/>
  <c r="G129" i="116" s="1"/>
  <c r="I129" i="116" a="1"/>
  <c r="I129" i="116" s="1"/>
  <c r="I128" i="116" a="1"/>
  <c r="I128" i="116" s="1"/>
  <c r="J252" i="116" a="1"/>
  <c r="J252" i="116" s="1"/>
  <c r="H252" i="116" a="1"/>
  <c r="H252" i="116" s="1"/>
  <c r="M32" i="116" a="1"/>
  <c r="M32" i="116" s="1"/>
  <c r="G293" i="116" a="1"/>
  <c r="G293" i="116" s="1"/>
  <c r="I327" i="116" a="1"/>
  <c r="I327" i="116" s="1"/>
  <c r="J323" i="116" a="1"/>
  <c r="J323" i="116" s="1"/>
  <c r="J329" i="116" a="1"/>
  <c r="J329" i="116" s="1"/>
  <c r="J325" i="116" a="1"/>
  <c r="J325" i="116" s="1"/>
  <c r="J321" i="116" a="1"/>
  <c r="J321" i="116" s="1"/>
  <c r="I321" i="116" a="1"/>
  <c r="I321" i="116" s="1"/>
  <c r="I326" i="116" a="1"/>
  <c r="I326" i="116" s="1"/>
  <c r="I325" i="116" a="1"/>
  <c r="I325" i="116" s="1"/>
  <c r="J324" i="116" a="1"/>
  <c r="J324" i="116" s="1"/>
  <c r="I329" i="116" a="1"/>
  <c r="I329" i="116" s="1"/>
  <c r="I324" i="116" a="1"/>
  <c r="I324" i="116" s="1"/>
  <c r="J328" i="116" a="1"/>
  <c r="J328" i="116" s="1"/>
  <c r="I323" i="116" a="1"/>
  <c r="I323" i="116" s="1"/>
  <c r="I328" i="116" a="1"/>
  <c r="I328" i="116" s="1"/>
  <c r="J322" i="116" a="1"/>
  <c r="J322" i="116" s="1"/>
  <c r="J327" i="116" a="1"/>
  <c r="J327" i="116" s="1"/>
  <c r="I322" i="116" a="1"/>
  <c r="I322" i="116" s="1"/>
  <c r="J326" i="116" a="1"/>
  <c r="J326" i="116" s="1"/>
  <c r="E474" i="116"/>
  <c r="F40" i="13" s="1" a="1"/>
  <c r="F40" i="13" s="1"/>
  <c r="I40" i="13" s="1"/>
  <c r="E363" i="116"/>
  <c r="I289" i="116" a="1"/>
  <c r="I289" i="116" s="1"/>
  <c r="G289" i="116" a="1"/>
  <c r="G289" i="116" s="1"/>
  <c r="I286" i="116" a="1"/>
  <c r="I286" i="116" s="1"/>
  <c r="G286" i="116" a="1"/>
  <c r="G286" i="116" s="1"/>
  <c r="F120" i="116"/>
  <c r="G120" i="116" s="1" a="1"/>
  <c r="G120" i="116" s="1"/>
  <c r="H255" i="116" a="1"/>
  <c r="H255" i="116" s="1"/>
  <c r="E53" i="116"/>
  <c r="K252" i="116" a="1"/>
  <c r="K252" i="116" s="1"/>
  <c r="H258" i="116" a="1"/>
  <c r="H258" i="116" s="1"/>
  <c r="G288" i="116" a="1"/>
  <c r="G288" i="116" s="1"/>
  <c r="I288" i="116" a="1"/>
  <c r="I288" i="116" s="1"/>
  <c r="I290" i="116" a="1"/>
  <c r="I290" i="116" s="1"/>
  <c r="G290" i="116" a="1"/>
  <c r="G290" i="116" s="1"/>
  <c r="E636" i="116"/>
  <c r="I292" i="116" a="1"/>
  <c r="I292" i="116" s="1"/>
  <c r="G292" i="116" a="1"/>
  <c r="G292" i="116" s="1"/>
  <c r="E475" i="116"/>
  <c r="I64" i="109" a="1"/>
  <c r="I64" i="109" s="1"/>
  <c r="H162" i="109" s="1"/>
  <c r="I162" i="109" s="1"/>
  <c r="K162" i="109" s="1" a="1"/>
  <c r="K162" i="109" s="1"/>
  <c r="G285" i="116" a="1"/>
  <c r="G285" i="116" s="1"/>
  <c r="I285" i="116" a="1"/>
  <c r="I285" i="116" s="1"/>
  <c r="H454" i="116" a="1"/>
  <c r="H454" i="116" s="1"/>
  <c r="J454" i="116" a="1"/>
  <c r="J454" i="116" s="1"/>
  <c r="G294" i="116" a="1"/>
  <c r="G294" i="116" s="1"/>
  <c r="I294" i="116" a="1"/>
  <c r="I294" i="116" s="1"/>
  <c r="I48" i="109" a="1"/>
  <c r="I48" i="109" s="1"/>
  <c r="H143" i="109" s="1"/>
  <c r="J383" i="116" a="1"/>
  <c r="J383" i="116" s="1"/>
  <c r="H383" i="116" a="1"/>
  <c r="H383" i="116" s="1"/>
  <c r="G291" i="116" a="1"/>
  <c r="G291" i="116" s="1"/>
  <c r="I291" i="116" a="1"/>
  <c r="I291" i="116" s="1"/>
  <c r="I296" i="116" a="1"/>
  <c r="I296" i="116" s="1"/>
  <c r="G296" i="116" a="1"/>
  <c r="G296" i="116" s="1"/>
  <c r="J23" i="116" a="1"/>
  <c r="J23" i="116" s="1"/>
  <c r="J390" i="116" a="1"/>
  <c r="J390" i="116" s="1"/>
  <c r="H390" i="116" a="1"/>
  <c r="H390" i="116" s="1"/>
  <c r="J61" i="116" a="1"/>
  <c r="J61" i="116" s="1"/>
  <c r="E73" i="116" s="1"/>
  <c r="F36" i="13" s="1" a="1"/>
  <c r="F36" i="13" s="1"/>
  <c r="I36" i="13" s="1"/>
  <c r="G61" i="116" a="1"/>
  <c r="G61" i="116" s="1"/>
  <c r="E72" i="116" s="1"/>
  <c r="E36" i="13" s="1" a="1"/>
  <c r="E36" i="13" s="1"/>
  <c r="I120" i="116" a="1"/>
  <c r="I120" i="116" s="1"/>
  <c r="F127" i="116"/>
  <c r="H451" i="116" a="1"/>
  <c r="H451" i="116" s="1"/>
  <c r="J451" i="116" a="1"/>
  <c r="J451" i="116" s="1"/>
  <c r="K253" i="116" a="1"/>
  <c r="K253" i="116" s="1"/>
  <c r="J79" i="116" a="1"/>
  <c r="J79" i="116" s="1"/>
  <c r="E91" i="116" s="1"/>
  <c r="K257" i="116" a="1"/>
  <c r="K257" i="116" s="1"/>
  <c r="I72" i="109" a="1"/>
  <c r="I72" i="109" s="1"/>
  <c r="H170" i="109" s="1"/>
  <c r="I167" i="109"/>
  <c r="K167" i="109" s="1" a="1"/>
  <c r="K167" i="109" s="1"/>
  <c r="I175" i="109"/>
  <c r="K175" i="109" s="1" a="1"/>
  <c r="K175" i="109" s="1"/>
  <c r="I25" i="109" a="1"/>
  <c r="I25" i="109" s="1"/>
  <c r="H120" i="109" s="1"/>
  <c r="I120" i="109" s="1"/>
  <c r="K120" i="109" s="1" a="1"/>
  <c r="K120" i="109" s="1"/>
  <c r="I73" i="109" a="1"/>
  <c r="I73" i="109" s="1"/>
  <c r="H171" i="109" s="1"/>
  <c r="I79" i="109" a="1"/>
  <c r="I79" i="109" s="1"/>
  <c r="H177" i="109" s="1"/>
  <c r="I177" i="109" s="1"/>
  <c r="K177" i="109" s="1" a="1"/>
  <c r="K177" i="109" s="1"/>
  <c r="I27" i="109" a="1"/>
  <c r="I27" i="109" s="1"/>
  <c r="H122" i="109" s="1"/>
  <c r="I122" i="109" s="1"/>
  <c r="K122" i="109" s="1" a="1"/>
  <c r="K122" i="109" s="1"/>
  <c r="I74" i="109" a="1"/>
  <c r="I74" i="109" s="1"/>
  <c r="H172" i="109" s="1"/>
  <c r="I66" i="109" a="1"/>
  <c r="I66" i="109" s="1"/>
  <c r="H164" i="109" s="1"/>
  <c r="I164" i="109" s="1"/>
  <c r="K164" i="109" s="1" a="1"/>
  <c r="K164" i="109" s="1"/>
  <c r="I76" i="109" a="1"/>
  <c r="I76" i="109" s="1"/>
  <c r="H174" i="109" s="1"/>
  <c r="I174" i="109" s="1"/>
  <c r="K174" i="109" s="1" a="1"/>
  <c r="K174" i="109" s="1"/>
  <c r="K126" i="109" a="1"/>
  <c r="K126" i="109" s="1"/>
  <c r="I35" i="109" a="1"/>
  <c r="I35" i="109" s="1"/>
  <c r="H130" i="109" s="1"/>
  <c r="K119" i="109" a="1"/>
  <c r="K119" i="109" s="1"/>
  <c r="I26" i="109" a="1"/>
  <c r="I26" i="109" s="1"/>
  <c r="H121" i="109" s="1"/>
  <c r="I121" i="109" s="1"/>
  <c r="K121" i="109" s="1" a="1"/>
  <c r="K121" i="109" s="1"/>
  <c r="I165" i="109"/>
  <c r="K165" i="109" s="1" a="1"/>
  <c r="K165" i="109" s="1"/>
  <c r="I40" i="109" a="1"/>
  <c r="I40" i="109" s="1"/>
  <c r="H135" i="109" s="1"/>
  <c r="I135" i="109" s="1"/>
  <c r="K135" i="109" s="1" a="1"/>
  <c r="K135" i="109" s="1"/>
  <c r="I84" i="109" a="1"/>
  <c r="I84" i="109" s="1"/>
  <c r="H182" i="109" s="1"/>
  <c r="I158" i="109"/>
  <c r="K158" i="109" s="1" a="1"/>
  <c r="K158" i="109" s="1"/>
  <c r="I41" i="109" a="1"/>
  <c r="I41" i="109" s="1"/>
  <c r="H136" i="109" s="1"/>
  <c r="I136" i="109" s="1"/>
  <c r="K136" i="109" s="1" a="1"/>
  <c r="K136" i="109" s="1"/>
  <c r="I42" i="109" a="1"/>
  <c r="I42" i="109" s="1"/>
  <c r="H137" i="109" s="1"/>
  <c r="I137" i="109" s="1"/>
  <c r="K137" i="109" s="1" a="1"/>
  <c r="K137" i="109" s="1"/>
  <c r="I160" i="109"/>
  <c r="K160" i="109" s="1" a="1"/>
  <c r="K160" i="109" s="1"/>
  <c r="I68" i="109" a="1"/>
  <c r="I68" i="109" s="1"/>
  <c r="H166" i="109" s="1"/>
  <c r="I166" i="109" s="1"/>
  <c r="K166" i="109" s="1" a="1"/>
  <c r="K166" i="109" s="1"/>
  <c r="I34" i="109" a="1"/>
  <c r="I34" i="109" s="1"/>
  <c r="H129" i="109" s="1"/>
  <c r="I61" i="109" a="1"/>
  <c r="I61" i="109" s="1"/>
  <c r="H159" i="109" s="1"/>
  <c r="I159" i="109" s="1"/>
  <c r="K159" i="109" s="1" a="1"/>
  <c r="K159" i="109" s="1"/>
  <c r="I86" i="109" a="1"/>
  <c r="I86" i="109" s="1"/>
  <c r="H184" i="109" s="1"/>
  <c r="I89" i="109" a="1"/>
  <c r="I89" i="109" s="1"/>
  <c r="H187" i="109" s="1"/>
  <c r="I78" i="109" a="1"/>
  <c r="I78" i="109" s="1"/>
  <c r="H176" i="109" s="1"/>
  <c r="I176" i="109" s="1"/>
  <c r="K176" i="109" s="1" a="1"/>
  <c r="K176" i="109" s="1"/>
  <c r="I80" i="109" a="1"/>
  <c r="I80" i="109" s="1"/>
  <c r="H178" i="109" s="1"/>
  <c r="I178" i="109" s="1"/>
  <c r="K178" i="109" s="1" a="1"/>
  <c r="K178" i="109" s="1"/>
  <c r="I82" i="109" a="1"/>
  <c r="I82" i="109" s="1"/>
  <c r="H180" i="109" s="1"/>
  <c r="I117" i="109"/>
  <c r="K117" i="109" s="1" a="1"/>
  <c r="K117" i="109" s="1"/>
  <c r="I71" i="109" a="1"/>
  <c r="I71" i="109" s="1"/>
  <c r="H169" i="109" s="1"/>
  <c r="I92" i="109" a="1"/>
  <c r="I92" i="109" s="1"/>
  <c r="H190" i="109" s="1"/>
  <c r="I63" i="109" a="1"/>
  <c r="I63" i="109" s="1"/>
  <c r="H161" i="109" s="1"/>
  <c r="I161" i="109" s="1"/>
  <c r="K161" i="109" s="1" a="1"/>
  <c r="K161" i="109" s="1"/>
  <c r="I65" i="109" a="1"/>
  <c r="I65" i="109" s="1"/>
  <c r="H163" i="109" s="1"/>
  <c r="I163" i="109" s="1"/>
  <c r="K163" i="109" s="1" a="1"/>
  <c r="K163" i="109" s="1"/>
  <c r="G26" i="101" a="1"/>
  <c r="G26" i="101" s="1"/>
  <c r="E32" i="103"/>
  <c r="K44" i="103" s="1"/>
  <c r="G34" i="102" a="1"/>
  <c r="G34" i="102" s="1"/>
  <c r="G28" i="101" a="1"/>
  <c r="G28" i="101" s="1"/>
  <c r="G22" i="102" a="1"/>
  <c r="G22" i="102" s="1"/>
  <c r="G26" i="102" a="1"/>
  <c r="G26" i="102" s="1"/>
  <c r="G32" i="102" a="1"/>
  <c r="G32" i="102" s="1"/>
  <c r="G28" i="102" a="1"/>
  <c r="G28" i="102" s="1"/>
  <c r="G24" i="101" a="1"/>
  <c r="G24" i="101" s="1"/>
  <c r="R117" i="83" a="1"/>
  <c r="R117" i="83" s="1"/>
  <c r="P39" i="97" a="1"/>
  <c r="P39" i="97" s="1"/>
  <c r="O39" i="97" a="1"/>
  <c r="O39" i="97" s="1"/>
  <c r="N39" i="97" a="1"/>
  <c r="N39" i="97" s="1"/>
  <c r="Q39" i="97" a="1"/>
  <c r="Q39" i="97" s="1"/>
  <c r="Q28" i="97" a="1"/>
  <c r="Q28" i="97" s="1"/>
  <c r="P28" i="97" a="1"/>
  <c r="P28" i="97" s="1"/>
  <c r="O28" i="97" a="1"/>
  <c r="O28" i="97" s="1"/>
  <c r="N28" i="97" a="1"/>
  <c r="N28" i="97" s="1"/>
  <c r="P38" i="97" a="1"/>
  <c r="P38" i="97" s="1"/>
  <c r="O38" i="97" a="1"/>
  <c r="O38" i="97" s="1"/>
  <c r="N38" i="97" a="1"/>
  <c r="N38" i="97" s="1"/>
  <c r="Q38" i="97" a="1"/>
  <c r="Q38" i="97" s="1"/>
  <c r="N27" i="97" a="1"/>
  <c r="N27" i="97" s="1"/>
  <c r="P27" i="97" a="1"/>
  <c r="P27" i="97" s="1"/>
  <c r="O27" i="97" a="1"/>
  <c r="O27" i="97" s="1"/>
  <c r="Q27" i="97" a="1"/>
  <c r="Q27" i="97" s="1"/>
  <c r="P26" i="97" a="1"/>
  <c r="P26" i="97" s="1"/>
  <c r="O26" i="97" a="1"/>
  <c r="O26" i="97" s="1"/>
  <c r="N26" i="97" a="1"/>
  <c r="N26" i="97" s="1"/>
  <c r="P37" i="97" a="1"/>
  <c r="P37" i="97" s="1"/>
  <c r="O37" i="97" a="1"/>
  <c r="O37" i="97" s="1"/>
  <c r="N37" i="97" a="1"/>
  <c r="N37" i="97" s="1"/>
  <c r="P32" i="97" a="1"/>
  <c r="P32" i="97" s="1"/>
  <c r="O32" i="97" a="1"/>
  <c r="O32" i="97" s="1"/>
  <c r="N32" i="97" a="1"/>
  <c r="N32" i="97" s="1"/>
  <c r="P31" i="97" a="1"/>
  <c r="P31" i="97" s="1"/>
  <c r="O31" i="97" a="1"/>
  <c r="O31" i="97" s="1"/>
  <c r="N31" i="97" a="1"/>
  <c r="N31" i="97" s="1"/>
  <c r="Q31" i="97" a="1"/>
  <c r="Q31" i="97" s="1"/>
  <c r="P25" i="97" a="1"/>
  <c r="P25" i="97" s="1"/>
  <c r="O25" i="97" a="1"/>
  <c r="O25" i="97" s="1"/>
  <c r="N25" i="97" a="1"/>
  <c r="N25" i="97" s="1"/>
  <c r="Q26" i="97" a="1"/>
  <c r="Q26" i="97" s="1"/>
  <c r="P40" i="97" a="1"/>
  <c r="P40" i="97" s="1"/>
  <c r="O40" i="97" a="1"/>
  <c r="O40" i="97" s="1"/>
  <c r="N40" i="97" a="1"/>
  <c r="N40" i="97" s="1"/>
  <c r="O36" i="97" a="1"/>
  <c r="O36" i="97" s="1"/>
  <c r="N36" i="97" a="1"/>
  <c r="N36" i="97" s="1"/>
  <c r="Q36" i="97" a="1"/>
  <c r="Q36" i="97" s="1"/>
  <c r="P36" i="97" a="1"/>
  <c r="P36" i="97" s="1"/>
  <c r="P30" i="97" a="1"/>
  <c r="P30" i="97" s="1"/>
  <c r="O30" i="97" a="1"/>
  <c r="O30" i="97" s="1"/>
  <c r="N30" i="97" a="1"/>
  <c r="N30" i="97" s="1"/>
  <c r="N34" i="97" a="1"/>
  <c r="N34" i="97" s="1"/>
  <c r="P34" i="97" a="1"/>
  <c r="P34" i="97" s="1"/>
  <c r="O34" i="97" a="1"/>
  <c r="O34" i="97" s="1"/>
  <c r="P35" i="97" a="1"/>
  <c r="P35" i="97" s="1"/>
  <c r="O35" i="97" a="1"/>
  <c r="O35" i="97" s="1"/>
  <c r="N35" i="97" a="1"/>
  <c r="N35" i="97" s="1"/>
  <c r="Q25" i="97" a="1"/>
  <c r="Q25" i="97" s="1"/>
  <c r="P33" i="97" a="1"/>
  <c r="P33" i="97" s="1"/>
  <c r="O33" i="97" a="1"/>
  <c r="O33" i="97" s="1"/>
  <c r="O29" i="97" a="1"/>
  <c r="O29" i="97" s="1"/>
  <c r="N29" i="97" a="1"/>
  <c r="N29" i="97" s="1"/>
  <c r="Q29" i="97" a="1"/>
  <c r="Q29" i="97" s="1"/>
  <c r="P29" i="97" a="1"/>
  <c r="P29" i="97" s="1"/>
  <c r="Q40" i="97" a="1"/>
  <c r="Q40" i="97" s="1"/>
  <c r="Q39" i="96" a="1"/>
  <c r="Q39" i="96" s="1"/>
  <c r="P39" i="96" a="1"/>
  <c r="P39" i="96" s="1"/>
  <c r="O39" i="96" a="1"/>
  <c r="O39" i="96" s="1"/>
  <c r="N39" i="96" a="1"/>
  <c r="N39" i="96" s="1"/>
  <c r="N36" i="96" a="1"/>
  <c r="N36" i="96" s="1"/>
  <c r="E55" i="96" s="1"/>
  <c r="Q36" i="96" a="1"/>
  <c r="Q36" i="96" s="1"/>
  <c r="P36" i="96" a="1"/>
  <c r="P36" i="96" s="1"/>
  <c r="O36" i="96" a="1"/>
  <c r="O36" i="96" s="1"/>
  <c r="P30" i="96" a="1"/>
  <c r="P30" i="96" s="1"/>
  <c r="O30" i="96" a="1"/>
  <c r="O30" i="96" s="1"/>
  <c r="N30" i="96" a="1"/>
  <c r="N30" i="96" s="1"/>
  <c r="Q30" i="96" a="1"/>
  <c r="Q30" i="96" s="1"/>
  <c r="P34" i="96" a="1"/>
  <c r="P34" i="96" s="1"/>
  <c r="O32" i="96" a="1"/>
  <c r="O32" i="96" s="1"/>
  <c r="N32" i="96" a="1"/>
  <c r="N32" i="96" s="1"/>
  <c r="P32" i="96" a="1"/>
  <c r="P32" i="96" s="1"/>
  <c r="O25" i="96" a="1"/>
  <c r="O25" i="96" s="1"/>
  <c r="Q34" i="96" a="1"/>
  <c r="Q34" i="96" s="1"/>
  <c r="Q32" i="96" a="1"/>
  <c r="Q32" i="96" s="1"/>
  <c r="P25" i="96" a="1"/>
  <c r="P25" i="96" s="1"/>
  <c r="Q33" i="96" a="1"/>
  <c r="Q33" i="96" s="1"/>
  <c r="E52" i="96" s="1"/>
  <c r="N29" i="96" a="1"/>
  <c r="N29" i="96" s="1"/>
  <c r="O34" i="96" a="1"/>
  <c r="O34" i="96" s="1"/>
  <c r="O37" i="96" a="1"/>
  <c r="O37" i="96" s="1"/>
  <c r="N37" i="96" a="1"/>
  <c r="N37" i="96" s="1"/>
  <c r="Q37" i="96" a="1"/>
  <c r="Q37" i="96" s="1"/>
  <c r="P37" i="96" a="1"/>
  <c r="P37" i="96" s="1"/>
  <c r="N33" i="96" a="1"/>
  <c r="N33" i="96" s="1"/>
  <c r="E49" i="96" s="1"/>
  <c r="O29" i="96" a="1"/>
  <c r="O29" i="96" s="1"/>
  <c r="O33" i="96" a="1"/>
  <c r="O33" i="96" s="1"/>
  <c r="E50" i="96" s="1"/>
  <c r="Q29" i="96" a="1"/>
  <c r="Q29" i="96" s="1"/>
  <c r="N38" i="96" a="1"/>
  <c r="N38" i="96" s="1"/>
  <c r="N27" i="96" a="1"/>
  <c r="N27" i="96" s="1"/>
  <c r="Q27" i="96" a="1"/>
  <c r="Q27" i="96" s="1"/>
  <c r="P27" i="96" a="1"/>
  <c r="P27" i="96" s="1"/>
  <c r="O27" i="96" a="1"/>
  <c r="O27" i="96" s="1"/>
  <c r="Q111" i="84" a="1"/>
  <c r="Q111" i="84" s="1"/>
  <c r="Q109" i="84" a="1"/>
  <c r="Q109" i="84" s="1"/>
  <c r="Q116" i="83" a="1"/>
  <c r="Q116" i="83" s="1"/>
  <c r="H117" i="83" a="1"/>
  <c r="H117" i="83" s="1"/>
  <c r="E110" i="84" a="1"/>
  <c r="E110" i="84" s="1"/>
  <c r="E108" i="84" a="1"/>
  <c r="E108" i="84" s="1"/>
  <c r="E111" i="84" a="1"/>
  <c r="E111" i="84" s="1"/>
  <c r="O111" i="84" a="1"/>
  <c r="O111" i="84" s="1"/>
  <c r="T22" i="87"/>
  <c r="J22" i="87"/>
  <c r="Q152" i="84" a="1"/>
  <c r="Q152" i="84" s="1"/>
  <c r="R202" i="84" s="1" a="1"/>
  <c r="R202" i="84" s="1"/>
  <c r="G116" i="83" a="1"/>
  <c r="G116" i="83" s="1"/>
  <c r="G117" i="83" a="1"/>
  <c r="G117" i="83" s="1"/>
  <c r="Q108" i="84" a="1"/>
  <c r="Q108" i="84" s="1"/>
  <c r="O117" i="83" a="1"/>
  <c r="O117" i="83" s="1"/>
  <c r="Q151" i="84" a="1"/>
  <c r="Q151" i="84" s="1"/>
  <c r="R197" i="84" s="1" a="1"/>
  <c r="R197" i="84" s="1"/>
  <c r="O151" i="84" a="1"/>
  <c r="O151" i="84" s="1"/>
  <c r="P196" i="84" s="1" a="1"/>
  <c r="P196" i="84" s="1"/>
  <c r="P117" i="83" a="1"/>
  <c r="P117" i="83" s="1"/>
  <c r="P115" i="83" a="1"/>
  <c r="P115" i="83" s="1"/>
  <c r="O110" i="84" a="1"/>
  <c r="O110" i="84" s="1"/>
  <c r="O108" i="84" a="1"/>
  <c r="O108" i="84" s="1"/>
  <c r="E116" i="83" a="1"/>
  <c r="E116" i="83" s="1"/>
  <c r="R108" i="84" a="1"/>
  <c r="R108" i="84" s="1"/>
  <c r="S22" i="85" s="1"/>
  <c r="S57" i="85" s="1" a="1"/>
  <c r="S57" i="85" s="1"/>
  <c r="R111" i="84" a="1"/>
  <c r="R111" i="84" s="1"/>
  <c r="R110" i="84" a="1"/>
  <c r="R110" i="84" s="1"/>
  <c r="S24" i="85" s="1"/>
  <c r="S59" i="85" s="1" a="1"/>
  <c r="S59" i="85" s="1"/>
  <c r="H115" i="83" a="1"/>
  <c r="H115" i="83" s="1"/>
  <c r="H111" i="84" a="1"/>
  <c r="H111" i="84" s="1"/>
  <c r="H108" i="84" a="1"/>
  <c r="H108" i="84" s="1"/>
  <c r="I22" i="85" s="1"/>
  <c r="I57" i="85" s="1" a="1"/>
  <c r="I57" i="85" s="1"/>
  <c r="H110" i="84" a="1"/>
  <c r="H110" i="84" s="1"/>
  <c r="I24" i="85" s="1"/>
  <c r="I59" i="85" s="1" a="1"/>
  <c r="I59" i="85" s="1"/>
  <c r="H109" i="84" a="1"/>
  <c r="H109" i="84" s="1"/>
  <c r="I23" i="85" s="1"/>
  <c r="I58" i="85" s="1" a="1"/>
  <c r="I58" i="85" s="1"/>
  <c r="G110" i="84" a="1"/>
  <c r="G110" i="84" s="1"/>
  <c r="H24" i="85" s="1"/>
  <c r="H59" i="85" s="1" a="1"/>
  <c r="H59" i="85" s="1"/>
  <c r="G111" i="84" a="1"/>
  <c r="G111" i="84" s="1"/>
  <c r="G108" i="84" a="1"/>
  <c r="G108" i="84" s="1"/>
  <c r="H22" i="85" s="1"/>
  <c r="H57" i="85" s="1" a="1"/>
  <c r="H57" i="85" s="1"/>
  <c r="G109" i="84" a="1"/>
  <c r="G109" i="84" s="1"/>
  <c r="H23" i="85" s="1"/>
  <c r="H58" i="85" s="1" a="1"/>
  <c r="H58" i="85" s="1"/>
  <c r="R20" i="84"/>
  <c r="H20" i="84"/>
  <c r="P108" i="84" a="1"/>
  <c r="P108" i="84" s="1"/>
  <c r="Q22" i="85" s="1"/>
  <c r="Q57" i="85" s="1" a="1"/>
  <c r="Q57" i="85" s="1"/>
  <c r="P109" i="84" a="1"/>
  <c r="P109" i="84" s="1"/>
  <c r="Q23" i="85" s="1"/>
  <c r="Q58" i="85" s="1" a="1"/>
  <c r="Q58" i="85" s="1"/>
  <c r="P110" i="84" a="1"/>
  <c r="P110" i="84" s="1"/>
  <c r="Q24" i="85" s="1"/>
  <c r="Q59" i="85" s="1" a="1"/>
  <c r="Q59" i="85" s="1"/>
  <c r="P111" i="84" a="1"/>
  <c r="P111" i="84" s="1"/>
  <c r="F109" i="84" a="1"/>
  <c r="F109" i="84" s="1"/>
  <c r="G23" i="85" s="1"/>
  <c r="G58" i="85" s="1" a="1"/>
  <c r="G58" i="85" s="1"/>
  <c r="F111" i="84" a="1"/>
  <c r="F111" i="84" s="1"/>
  <c r="F108" i="84" a="1"/>
  <c r="F108" i="84" s="1"/>
  <c r="G22" i="85" s="1"/>
  <c r="G57" i="85" s="1" a="1"/>
  <c r="G57" i="85" s="1"/>
  <c r="F110" i="84" a="1"/>
  <c r="F110" i="84" s="1"/>
  <c r="G24" i="85" s="1"/>
  <c r="G59" i="85" s="1" a="1"/>
  <c r="G59" i="85" s="1"/>
  <c r="F116" i="83" a="1"/>
  <c r="F116" i="83" s="1"/>
  <c r="E151" i="84" a="1"/>
  <c r="E151" i="84" s="1"/>
  <c r="F117" i="83" a="1"/>
  <c r="F117" i="83" s="1"/>
  <c r="Q115" i="83" a="1"/>
  <c r="Q115" i="83" s="1"/>
  <c r="R20" i="83"/>
  <c r="H20" i="83"/>
  <c r="Q117" i="83" a="1"/>
  <c r="Q117" i="83" s="1"/>
  <c r="R115" i="83" a="1"/>
  <c r="R115" i="83" s="1"/>
  <c r="G115" i="83" a="1"/>
  <c r="G115" i="83" s="1"/>
  <c r="E115" i="83" a="1"/>
  <c r="E115" i="83" s="1"/>
  <c r="O115" i="83" a="1"/>
  <c r="O115" i="83" s="1"/>
  <c r="F115" i="83" a="1"/>
  <c r="F115" i="83" s="1"/>
  <c r="O11" i="101" l="1" a="1"/>
  <c r="Q34" i="97" a="1"/>
  <c r="Q34" i="97" s="1"/>
  <c r="G21" i="109" a="1"/>
  <c r="G21" i="109" s="1"/>
  <c r="I21" i="109" s="1" a="1"/>
  <c r="I21" i="109" s="1"/>
  <c r="H116" i="109" s="1"/>
  <c r="G157" i="109" a="1"/>
  <c r="G157" i="109" s="1"/>
  <c r="G116" i="109" a="1"/>
  <c r="G116" i="109" s="1"/>
  <c r="I116" i="109" s="1"/>
  <c r="K116" i="109" s="1" a="1"/>
  <c r="K116" i="109" s="1"/>
  <c r="F256" i="116" a="1"/>
  <c r="F256" i="116" s="1"/>
  <c r="G256" i="116" s="1" a="1"/>
  <c r="G256" i="116" s="1"/>
  <c r="I38" i="109" a="1"/>
  <c r="I38" i="109" s="1"/>
  <c r="H133" i="109" s="1"/>
  <c r="I133" i="109" s="1"/>
  <c r="K133" i="109" s="1" a="1"/>
  <c r="K133" i="109" s="1"/>
  <c r="I28" i="109" a="1"/>
  <c r="I28" i="109" s="1"/>
  <c r="H123" i="109" s="1"/>
  <c r="I123" i="109" s="1"/>
  <c r="K123" i="109" s="1" a="1"/>
  <c r="K123" i="109" s="1"/>
  <c r="I54" i="109" a="1"/>
  <c r="I54" i="109" s="1"/>
  <c r="H149" i="109" s="1"/>
  <c r="I36" i="109" a="1"/>
  <c r="I36" i="109" s="1"/>
  <c r="H131" i="109" s="1"/>
  <c r="I52" i="109" a="1"/>
  <c r="I52" i="109" s="1"/>
  <c r="H147" i="109" s="1"/>
  <c r="I144" i="109" s="1"/>
  <c r="K144" i="109" s="1" a="1"/>
  <c r="K144" i="109" s="1"/>
  <c r="K256" i="116" a="1"/>
  <c r="K256" i="116" s="1"/>
  <c r="F254" i="116" a="1"/>
  <c r="F254" i="116" s="1"/>
  <c r="G254" i="116" s="1" a="1"/>
  <c r="G254" i="116" s="1"/>
  <c r="H260" i="116" a="1"/>
  <c r="H260" i="116" s="1"/>
  <c r="H253" i="116" a="1"/>
  <c r="H253" i="116" s="1"/>
  <c r="H254" i="116" a="1"/>
  <c r="H254" i="116" s="1"/>
  <c r="I30" i="109" a="1"/>
  <c r="I30" i="109" s="1"/>
  <c r="H125" i="109" s="1"/>
  <c r="I125" i="109" s="1"/>
  <c r="K125" i="109" s="1" a="1"/>
  <c r="K125" i="109" s="1"/>
  <c r="I46" i="109" a="1"/>
  <c r="I46" i="109" s="1"/>
  <c r="H141" i="109" s="1"/>
  <c r="I138" i="109" s="1"/>
  <c r="K138" i="109" s="1" a="1"/>
  <c r="K138" i="109" s="1"/>
  <c r="I39" i="109" a="1"/>
  <c r="I39" i="109" s="1"/>
  <c r="H134" i="109" s="1"/>
  <c r="I134" i="109" s="1"/>
  <c r="K134" i="109" s="1" a="1"/>
  <c r="K134" i="109" s="1"/>
  <c r="K261" i="116" a="1"/>
  <c r="K261" i="116" s="1"/>
  <c r="E657" i="116"/>
  <c r="I125" i="116" a="1"/>
  <c r="I125" i="116" s="1"/>
  <c r="I37" i="109" a="1"/>
  <c r="I37" i="109" s="1"/>
  <c r="H132" i="109" s="1"/>
  <c r="I132" i="109" s="1"/>
  <c r="K132" i="109" s="1" a="1"/>
  <c r="K132" i="109" s="1"/>
  <c r="I47" i="109" a="1"/>
  <c r="I47" i="109" s="1"/>
  <c r="H142" i="109" s="1"/>
  <c r="O21" i="101"/>
  <c r="Q23" i="101"/>
  <c r="Q27" i="101"/>
  <c r="Q25" i="101"/>
  <c r="Q26" i="101"/>
  <c r="Q24" i="101"/>
  <c r="Q30" i="101"/>
  <c r="Q22" i="101"/>
  <c r="Q28" i="101"/>
  <c r="I53" i="109" a="1"/>
  <c r="I53" i="109" s="1"/>
  <c r="H148" i="109" s="1"/>
  <c r="I23" i="109" a="1"/>
  <c r="I23" i="109" s="1"/>
  <c r="H118" i="109" s="1"/>
  <c r="I118" i="109" s="1"/>
  <c r="K118" i="109" s="1" a="1"/>
  <c r="K118" i="109" s="1"/>
  <c r="I88" i="109" a="1"/>
  <c r="I88" i="109" s="1"/>
  <c r="H186" i="109" s="1"/>
  <c r="I90" i="109" a="1"/>
  <c r="I90" i="109" s="1"/>
  <c r="H188" i="109" s="1"/>
  <c r="G59" i="109" a="1"/>
  <c r="G59" i="109" s="1"/>
  <c r="I59" i="109" s="1" a="1"/>
  <c r="I59" i="109" s="1"/>
  <c r="H157" i="109" s="1"/>
  <c r="P11" i="101" a="1"/>
  <c r="P11" i="101" s="1"/>
  <c r="I75" i="109" a="1"/>
  <c r="I75" i="109" s="1"/>
  <c r="H173" i="109" s="1"/>
  <c r="I173" i="109" s="1"/>
  <c r="K173" i="109" s="1" a="1"/>
  <c r="K173" i="109" s="1"/>
  <c r="F79" i="116"/>
  <c r="G79" i="116" s="1" a="1"/>
  <c r="G79" i="116" s="1"/>
  <c r="G88" i="116" a="1"/>
  <c r="G88" i="116" s="1"/>
  <c r="G85" i="116" a="1"/>
  <c r="G85" i="116" s="1"/>
  <c r="G81" i="116" a="1"/>
  <c r="G81" i="116" s="1"/>
  <c r="G84" i="116" a="1"/>
  <c r="G84" i="116" s="1"/>
  <c r="G80" i="116" a="1"/>
  <c r="G80" i="116" s="1"/>
  <c r="G83" i="116" a="1"/>
  <c r="G83" i="116" s="1"/>
  <c r="G82" i="116" a="1"/>
  <c r="G82" i="116" s="1"/>
  <c r="G86" i="116" a="1"/>
  <c r="G86" i="116" s="1"/>
  <c r="I29" i="109" a="1"/>
  <c r="I29" i="109" s="1"/>
  <c r="H124" i="109" s="1"/>
  <c r="I124" i="109" s="1"/>
  <c r="K124" i="109" s="1" a="1"/>
  <c r="K124" i="109" s="1"/>
  <c r="O150" i="84" a="1"/>
  <c r="O150" i="84" s="1"/>
  <c r="P192" i="84" s="1" a="1"/>
  <c r="P192" i="84" s="1"/>
  <c r="P22" i="85"/>
  <c r="P57" i="85" s="1" a="1"/>
  <c r="P57" i="85" s="1"/>
  <c r="Q150" i="84" a="1"/>
  <c r="Q150" i="84" s="1"/>
  <c r="R193" i="84" s="1" a="1"/>
  <c r="R193" i="84" s="1"/>
  <c r="R22" i="85"/>
  <c r="R57" i="85" s="1" a="1"/>
  <c r="R57" i="85" s="1"/>
  <c r="R35" i="87"/>
  <c r="R39" i="85"/>
  <c r="R74" i="85" s="1" a="1"/>
  <c r="R74" i="85" s="1"/>
  <c r="P25" i="85"/>
  <c r="P60" i="85" s="1" a="1"/>
  <c r="P60" i="85" s="1"/>
  <c r="N19" i="89"/>
  <c r="N24" i="89" s="1" a="1"/>
  <c r="N24" i="89" s="1"/>
  <c r="O20" i="88"/>
  <c r="O23" i="90"/>
  <c r="Q19" i="89"/>
  <c r="Q24" i="89" s="1" a="1"/>
  <c r="Q24" i="89" s="1"/>
  <c r="R23" i="90"/>
  <c r="R20" i="88"/>
  <c r="S25" i="85"/>
  <c r="S60" i="85" s="1" a="1"/>
  <c r="S60" i="85" s="1"/>
  <c r="R30" i="87"/>
  <c r="R34" i="85"/>
  <c r="R69" i="85" s="1" a="1"/>
  <c r="R69" i="85" s="1"/>
  <c r="O152" i="84" a="1"/>
  <c r="O152" i="84" s="1"/>
  <c r="P203" i="84" s="1" a="1"/>
  <c r="P203" i="84" s="1"/>
  <c r="P24" i="85"/>
  <c r="P59" i="85" s="1" a="1"/>
  <c r="P59" i="85" s="1"/>
  <c r="R23" i="85"/>
  <c r="R58" i="85" s="1" a="1"/>
  <c r="R58" i="85" s="1"/>
  <c r="O19" i="89"/>
  <c r="O24" i="89" s="1" a="1"/>
  <c r="O24" i="89" s="1"/>
  <c r="P20" i="88"/>
  <c r="P23" i="90"/>
  <c r="Q25" i="85"/>
  <c r="Q60" i="85" s="1" a="1"/>
  <c r="Q60" i="85" s="1"/>
  <c r="P33" i="85"/>
  <c r="P68" i="85" s="1" a="1"/>
  <c r="P68" i="85" s="1"/>
  <c r="P29" i="87"/>
  <c r="P19" i="89"/>
  <c r="P24" i="89" s="1" a="1"/>
  <c r="P24" i="89" s="1"/>
  <c r="Q23" i="90"/>
  <c r="R25" i="85"/>
  <c r="R60" i="85" s="1" a="1"/>
  <c r="R60" i="85" s="1"/>
  <c r="Q20" i="88"/>
  <c r="F20" i="88"/>
  <c r="F19" i="89"/>
  <c r="F24" i="89" s="1" a="1"/>
  <c r="F24" i="89" s="1"/>
  <c r="G25" i="85"/>
  <c r="G60" i="85" s="1" a="1"/>
  <c r="G60" i="85" s="1"/>
  <c r="F23" i="90"/>
  <c r="E20" i="88"/>
  <c r="E19" i="89"/>
  <c r="E24" i="89" s="1" a="1"/>
  <c r="E24" i="89" s="1"/>
  <c r="F25" i="85"/>
  <c r="F60" i="85" s="1" a="1"/>
  <c r="F60" i="85" s="1"/>
  <c r="E23" i="90"/>
  <c r="F22" i="85"/>
  <c r="F57" i="85" s="1" a="1"/>
  <c r="F57" i="85" s="1"/>
  <c r="H19" i="89"/>
  <c r="H24" i="89" s="1" a="1"/>
  <c r="H24" i="89" s="1"/>
  <c r="I25" i="85"/>
  <c r="I60" i="85" s="1" a="1"/>
  <c r="I60" i="85" s="1"/>
  <c r="H23" i="90"/>
  <c r="H20" i="88"/>
  <c r="G20" i="88"/>
  <c r="G19" i="89"/>
  <c r="G24" i="89" s="1" a="1"/>
  <c r="G24" i="89" s="1"/>
  <c r="H25" i="85"/>
  <c r="H60" i="85" s="1" a="1"/>
  <c r="H60" i="85" s="1"/>
  <c r="G23" i="90"/>
  <c r="F24" i="85"/>
  <c r="F59" i="85" s="1" a="1"/>
  <c r="F59" i="85" s="1"/>
  <c r="E38" i="106"/>
  <c r="E34" i="105"/>
  <c r="H34" i="105" s="1" a="1"/>
  <c r="H34" i="105" s="1"/>
  <c r="E74" i="105" s="1"/>
  <c r="E22" i="105"/>
  <c r="H22" i="105" s="1" a="1"/>
  <c r="H22" i="105" s="1"/>
  <c r="E62" i="105" s="1"/>
  <c r="E26" i="106"/>
  <c r="E36" i="105"/>
  <c r="H36" i="105" s="1" a="1"/>
  <c r="H36" i="105" s="1"/>
  <c r="E76" i="105" s="1"/>
  <c r="E40" i="106"/>
  <c r="E33" i="106"/>
  <c r="E29" i="105"/>
  <c r="H29" i="105" s="1" a="1"/>
  <c r="H29" i="105" s="1"/>
  <c r="E69" i="105" s="1"/>
  <c r="E31" i="105"/>
  <c r="H31" i="105" s="1" a="1"/>
  <c r="H31" i="105" s="1"/>
  <c r="E71" i="105" s="1"/>
  <c r="E35" i="106"/>
  <c r="E21" i="105"/>
  <c r="H21" i="105" s="1" a="1"/>
  <c r="H21" i="105" s="1"/>
  <c r="E61" i="105" s="1"/>
  <c r="E25" i="106"/>
  <c r="E26" i="105"/>
  <c r="H26" i="105" s="1" a="1"/>
  <c r="H26" i="105" s="1"/>
  <c r="E66" i="105" s="1"/>
  <c r="E30" i="106"/>
  <c r="E31" i="106"/>
  <c r="E27" i="105"/>
  <c r="H27" i="105" s="1" a="1"/>
  <c r="H27" i="105" s="1"/>
  <c r="E67" i="105" s="1"/>
  <c r="E32" i="105"/>
  <c r="H32" i="105" s="1" a="1"/>
  <c r="H32" i="105" s="1"/>
  <c r="E72" i="105" s="1"/>
  <c r="E36" i="106"/>
  <c r="E37" i="106"/>
  <c r="E33" i="105"/>
  <c r="H33" i="105" s="1" a="1"/>
  <c r="H33" i="105" s="1"/>
  <c r="E73" i="105" s="1"/>
  <c r="E23" i="105"/>
  <c r="H23" i="105" s="1" a="1"/>
  <c r="H23" i="105" s="1"/>
  <c r="E63" i="105" s="1"/>
  <c r="E27" i="106"/>
  <c r="E24" i="105"/>
  <c r="H24" i="105" s="1" a="1"/>
  <c r="H24" i="105" s="1"/>
  <c r="E64" i="105" s="1"/>
  <c r="E28" i="106"/>
  <c r="E32" i="106"/>
  <c r="E28" i="105"/>
  <c r="H28" i="105" s="1" a="1"/>
  <c r="H28" i="105" s="1"/>
  <c r="E68" i="105" s="1"/>
  <c r="E34" i="106"/>
  <c r="E30" i="105"/>
  <c r="H30" i="105" s="1" a="1"/>
  <c r="H30" i="105" s="1"/>
  <c r="E70" i="105" s="1"/>
  <c r="Q21" i="101"/>
  <c r="N34" i="101"/>
  <c r="E35" i="105"/>
  <c r="H35" i="105" s="1" a="1"/>
  <c r="H35" i="105" s="1"/>
  <c r="E75" i="105" s="1"/>
  <c r="E39" i="106"/>
  <c r="E37" i="105"/>
  <c r="H37" i="105" s="1" a="1"/>
  <c r="H37" i="105" s="1"/>
  <c r="E77" i="105" s="1"/>
  <c r="E41" i="106"/>
  <c r="E24" i="106"/>
  <c r="E20" i="105"/>
  <c r="H20" i="105" s="1" a="1"/>
  <c r="H20" i="105" s="1"/>
  <c r="E60" i="105" s="1"/>
  <c r="E25" i="105"/>
  <c r="H25" i="105" s="1" a="1"/>
  <c r="H25" i="105" s="1"/>
  <c r="E65" i="105" s="1"/>
  <c r="E29" i="106"/>
  <c r="J238" i="116" a="1"/>
  <c r="J238" i="116" s="1"/>
  <c r="J242" i="116" a="1"/>
  <c r="J242" i="116" s="1"/>
  <c r="J239" i="116" a="1"/>
  <c r="J239" i="116" s="1"/>
  <c r="J243" i="116" a="1"/>
  <c r="J243" i="116" s="1"/>
  <c r="J245" i="116" a="1"/>
  <c r="J245" i="116" s="1"/>
  <c r="J244" i="116" a="1"/>
  <c r="J244" i="116" s="1"/>
  <c r="J237" i="116" a="1"/>
  <c r="J237" i="116" s="1"/>
  <c r="K236" i="116" a="1"/>
  <c r="K236" i="116" s="1"/>
  <c r="E236" i="116"/>
  <c r="J236" i="116" s="1" a="1"/>
  <c r="J236" i="116" s="1"/>
  <c r="J240" i="116" a="1"/>
  <c r="J240" i="116" s="1"/>
  <c r="H239" i="116" a="1"/>
  <c r="H239" i="116" s="1"/>
  <c r="K239" i="116" a="1"/>
  <c r="K239" i="116" s="1"/>
  <c r="K238" i="116" a="1"/>
  <c r="K238" i="116" s="1"/>
  <c r="K242" i="116" a="1"/>
  <c r="K242" i="116" s="1"/>
  <c r="F239" i="116" a="1"/>
  <c r="F239" i="116" s="1"/>
  <c r="G239" i="116" s="1" a="1"/>
  <c r="G239" i="116" s="1"/>
  <c r="F242" i="116" a="1"/>
  <c r="F242" i="116" s="1"/>
  <c r="G242" i="116" s="1" a="1"/>
  <c r="G242" i="116" s="1"/>
  <c r="H244" i="116" a="1"/>
  <c r="H244" i="116" s="1"/>
  <c r="K244" i="116" a="1"/>
  <c r="K244" i="116" s="1"/>
  <c r="K245" i="116" a="1"/>
  <c r="K245" i="116" s="1"/>
  <c r="F243" i="116" a="1"/>
  <c r="F243" i="116" s="1"/>
  <c r="G243" i="116" s="1" a="1"/>
  <c r="G243" i="116" s="1"/>
  <c r="F240" i="116" a="1"/>
  <c r="F240" i="116" s="1"/>
  <c r="G240" i="116" s="1" a="1"/>
  <c r="G240" i="116" s="1"/>
  <c r="K240" i="116" a="1"/>
  <c r="K240" i="116" s="1"/>
  <c r="K243" i="116" a="1"/>
  <c r="K243" i="116" s="1"/>
  <c r="F241" i="116" a="1"/>
  <c r="F241" i="116" s="1"/>
  <c r="G241" i="116" s="1" a="1"/>
  <c r="G241" i="116" s="1"/>
  <c r="F244" i="116" a="1"/>
  <c r="F244" i="116" s="1"/>
  <c r="G244" i="116" s="1" a="1"/>
  <c r="G244" i="116" s="1"/>
  <c r="H241" i="116" a="1"/>
  <c r="H241" i="116" s="1"/>
  <c r="F245" i="116" a="1"/>
  <c r="F245" i="116" s="1"/>
  <c r="G245" i="116" s="1" a="1"/>
  <c r="G245" i="116" s="1"/>
  <c r="K241" i="116" a="1"/>
  <c r="K241" i="116" s="1"/>
  <c r="F238" i="116" a="1"/>
  <c r="F238" i="116" s="1"/>
  <c r="G238" i="116" s="1" a="1"/>
  <c r="G238" i="116" s="1"/>
  <c r="H245" i="116" a="1"/>
  <c r="H245" i="116" s="1"/>
  <c r="F237" i="116" a="1"/>
  <c r="F237" i="116" s="1"/>
  <c r="G237" i="116" s="1" a="1"/>
  <c r="G237" i="116" s="1"/>
  <c r="F236" i="116" a="1"/>
  <c r="F236" i="116" s="1"/>
  <c r="G236" i="116" s="1" a="1"/>
  <c r="G236" i="116" s="1"/>
  <c r="H238" i="116" a="1"/>
  <c r="H238" i="116" s="1"/>
  <c r="H243" i="116" a="1"/>
  <c r="H243" i="116" s="1"/>
  <c r="H240" i="116" a="1"/>
  <c r="H240" i="116" s="1"/>
  <c r="K237" i="116" a="1"/>
  <c r="K237" i="116" s="1"/>
  <c r="H242" i="116" a="1"/>
  <c r="H242" i="116" s="1"/>
  <c r="H237" i="116" a="1"/>
  <c r="H237" i="116" s="1"/>
  <c r="E40" i="13" a="1"/>
  <c r="E40" i="13" s="1"/>
  <c r="H40" i="13" s="1"/>
  <c r="E393" i="116"/>
  <c r="E35" i="116"/>
  <c r="E94" i="116" s="1"/>
  <c r="E34" i="116"/>
  <c r="I126" i="116" a="1"/>
  <c r="I126" i="116" s="1"/>
  <c r="E456" i="116"/>
  <c r="E457" i="116"/>
  <c r="H236" i="116" a="1"/>
  <c r="H236" i="116" s="1"/>
  <c r="I157" i="109"/>
  <c r="K157" i="109" s="1" a="1"/>
  <c r="K157" i="109" s="1"/>
  <c r="E299" i="116"/>
  <c r="E298" i="116"/>
  <c r="I320" i="116" a="1"/>
  <c r="I320" i="116" s="1"/>
  <c r="E331" i="116" s="1"/>
  <c r="J320" i="116" a="1"/>
  <c r="J320" i="116" s="1"/>
  <c r="E332" i="116" s="1"/>
  <c r="I127" i="116" a="1"/>
  <c r="I127" i="116" s="1"/>
  <c r="G127" i="116" a="1"/>
  <c r="G127" i="116" s="1"/>
  <c r="E131" i="116" s="1"/>
  <c r="E159" i="116" s="1"/>
  <c r="E394" i="116"/>
  <c r="I168" i="109"/>
  <c r="K168" i="109" s="1" a="1"/>
  <c r="K168" i="109" s="1"/>
  <c r="I127" i="109"/>
  <c r="K127" i="109" s="1" a="1"/>
  <c r="K127" i="109" s="1"/>
  <c r="I185" i="109"/>
  <c r="K185" i="109" s="1" a="1"/>
  <c r="K185" i="109" s="1"/>
  <c r="I179" i="109"/>
  <c r="K179" i="109" s="1" a="1"/>
  <c r="K179" i="109" s="1"/>
  <c r="G19" i="101" a="1"/>
  <c r="G19" i="101" s="1"/>
  <c r="G19" i="102" a="1"/>
  <c r="G19" i="102" s="1"/>
  <c r="E61" i="96"/>
  <c r="E56" i="96"/>
  <c r="E46" i="96"/>
  <c r="E63" i="96"/>
  <c r="E62" i="96"/>
  <c r="E52" i="97"/>
  <c r="E46" i="97"/>
  <c r="E64" i="96"/>
  <c r="E43" i="96"/>
  <c r="E58" i="96"/>
  <c r="E49" i="97"/>
  <c r="E50" i="97"/>
  <c r="E51" i="97"/>
  <c r="E43" i="97"/>
  <c r="E44" i="97"/>
  <c r="E45" i="97"/>
  <c r="E45" i="96"/>
  <c r="E44" i="96"/>
  <c r="E57" i="96"/>
  <c r="P201" i="84" a="1"/>
  <c r="P201" i="84" s="1"/>
  <c r="P200" i="84" a="1"/>
  <c r="P200" i="84" s="1"/>
  <c r="R199" i="84" a="1"/>
  <c r="R199" i="84" s="1"/>
  <c r="E152" i="84" a="1"/>
  <c r="E152" i="84" s="1"/>
  <c r="F199" i="84" s="1" a="1"/>
  <c r="F199" i="84" s="1"/>
  <c r="R194" i="84" a="1"/>
  <c r="R194" i="84" s="1"/>
  <c r="E150" i="84" a="1"/>
  <c r="E150" i="84" s="1"/>
  <c r="P194" i="84" a="1"/>
  <c r="P194" i="84" s="1"/>
  <c r="P195" i="84" a="1"/>
  <c r="P195" i="84" s="1"/>
  <c r="R201" i="84" a="1"/>
  <c r="R201" i="84" s="1"/>
  <c r="P198" i="84" a="1"/>
  <c r="P198" i="84" s="1"/>
  <c r="R203" i="84" a="1"/>
  <c r="R203" i="84" s="1"/>
  <c r="P197" i="84" a="1"/>
  <c r="P197" i="84" s="1"/>
  <c r="R200" i="84" a="1"/>
  <c r="R200" i="84" s="1"/>
  <c r="R195" i="84" a="1"/>
  <c r="R195" i="84" s="1"/>
  <c r="R198" i="84" a="1"/>
  <c r="R198" i="84" s="1"/>
  <c r="R196" i="84" a="1"/>
  <c r="R196" i="84" s="1"/>
  <c r="P189" i="84" a="1"/>
  <c r="P189" i="84" s="1"/>
  <c r="P191" i="84" a="1"/>
  <c r="P191" i="84" s="1"/>
  <c r="F151" i="84" a="1"/>
  <c r="F151" i="84" s="1"/>
  <c r="H152" i="84" a="1"/>
  <c r="H152" i="84" s="1"/>
  <c r="R151" i="84" a="1"/>
  <c r="R151" i="84" s="1"/>
  <c r="H151" i="84" a="1"/>
  <c r="H151" i="84" s="1"/>
  <c r="R152" i="84" a="1"/>
  <c r="R152" i="84" s="1"/>
  <c r="H150" i="84" a="1"/>
  <c r="H150" i="84" s="1"/>
  <c r="G151" i="84" a="1"/>
  <c r="G151" i="84" s="1"/>
  <c r="G150" i="84" a="1"/>
  <c r="G150" i="84" s="1"/>
  <c r="R150" i="84" a="1"/>
  <c r="R150" i="84" s="1"/>
  <c r="G152" i="84" a="1"/>
  <c r="G152" i="84" s="1"/>
  <c r="P152" i="84" a="1"/>
  <c r="P152" i="84" s="1"/>
  <c r="P151" i="84" a="1"/>
  <c r="P151" i="84" s="1"/>
  <c r="F152" i="84" a="1"/>
  <c r="F152" i="84" s="1"/>
  <c r="P150" i="84" a="1"/>
  <c r="P150" i="84" s="1"/>
  <c r="F195" i="84" a="1"/>
  <c r="F195" i="84" s="1"/>
  <c r="F198" i="84" a="1"/>
  <c r="F198" i="84" s="1"/>
  <c r="F194" i="84" a="1"/>
  <c r="F194" i="84" s="1"/>
  <c r="F197" i="84" a="1"/>
  <c r="F197" i="84" s="1"/>
  <c r="F196" i="84" a="1"/>
  <c r="F196" i="84" s="1"/>
  <c r="F150" i="84" a="1"/>
  <c r="F150" i="84" s="1"/>
  <c r="J58" i="78"/>
  <c r="J38" i="78"/>
  <c r="J37" i="78"/>
  <c r="J32" i="78"/>
  <c r="D11" i="78"/>
  <c r="D10" i="78"/>
  <c r="D14" i="78"/>
  <c r="I16" i="81"/>
  <c r="I15" i="81"/>
  <c r="I14" i="81"/>
  <c r="I13" i="81"/>
  <c r="I12" i="81"/>
  <c r="I11" i="81"/>
  <c r="I10" i="81"/>
  <c r="I9" i="81"/>
  <c r="I8" i="81"/>
  <c r="I7" i="81"/>
  <c r="R189" i="84" l="1" a="1"/>
  <c r="R189" i="84" s="1"/>
  <c r="R192" i="84" a="1"/>
  <c r="R192" i="84" s="1"/>
  <c r="P193" i="84" a="1"/>
  <c r="P193" i="84" s="1"/>
  <c r="R191" i="84" a="1"/>
  <c r="R191" i="84" s="1"/>
  <c r="E90" i="116"/>
  <c r="P190" i="84" a="1"/>
  <c r="P190" i="84" s="1"/>
  <c r="R190" i="84" a="1"/>
  <c r="R190" i="84" s="1"/>
  <c r="R27" i="85" s="1"/>
  <c r="R62" i="85" s="1" a="1"/>
  <c r="R62" i="85" s="1"/>
  <c r="E93" i="116"/>
  <c r="Q11" i="101"/>
  <c r="N33" i="101" s="1"/>
  <c r="E22" i="72"/>
  <c r="O11" i="101"/>
  <c r="Q15" i="101"/>
  <c r="Q14" i="101"/>
  <c r="Q12" i="101"/>
  <c r="Q18" i="101"/>
  <c r="Q17" i="101"/>
  <c r="Q16" i="101"/>
  <c r="Q13" i="101"/>
  <c r="Q19" i="101"/>
  <c r="Q20" i="101"/>
  <c r="P199" i="84" a="1"/>
  <c r="P199" i="84" s="1"/>
  <c r="P36" i="85" s="1"/>
  <c r="P71" i="85" s="1" a="1"/>
  <c r="P71" i="85" s="1"/>
  <c r="R31" i="87"/>
  <c r="R35" i="85"/>
  <c r="P27" i="86"/>
  <c r="P26" i="85"/>
  <c r="P61" i="85" s="1" a="1"/>
  <c r="P61" i="85" s="1"/>
  <c r="P22" i="87"/>
  <c r="P28" i="87"/>
  <c r="P32" i="85"/>
  <c r="P67" i="85" s="1" a="1"/>
  <c r="P67" i="85" s="1"/>
  <c r="R27" i="86"/>
  <c r="R26" i="85"/>
  <c r="R61" i="85" s="1" a="1"/>
  <c r="R61" i="85" s="1"/>
  <c r="R22" i="87"/>
  <c r="P28" i="85"/>
  <c r="P63" i="85" s="1" a="1"/>
  <c r="P63" i="85" s="1"/>
  <c r="P24" i="87"/>
  <c r="R23" i="87"/>
  <c r="R29" i="85"/>
  <c r="R64" i="85" s="1" a="1"/>
  <c r="R64" i="85" s="1"/>
  <c r="R25" i="87"/>
  <c r="N26" i="89"/>
  <c r="R38" i="89" s="1"/>
  <c r="R28" i="87"/>
  <c r="R32" i="85"/>
  <c r="R67" i="85" s="1" a="1"/>
  <c r="R67" i="85" s="1"/>
  <c r="P34" i="87"/>
  <c r="P38" i="85"/>
  <c r="P73" i="85" s="1" a="1"/>
  <c r="P73" i="85" s="1"/>
  <c r="P27" i="87"/>
  <c r="P28" i="86"/>
  <c r="P31" i="85"/>
  <c r="P66" i="85" s="1" a="1"/>
  <c r="P66" i="85" s="1"/>
  <c r="P30" i="85"/>
  <c r="P26" i="87"/>
  <c r="P40" i="85"/>
  <c r="P36" i="87"/>
  <c r="P202" i="84" a="1"/>
  <c r="P202" i="84" s="1"/>
  <c r="R155" i="87" a="1"/>
  <c r="R155" i="87" s="1"/>
  <c r="R118" i="87" a="1"/>
  <c r="R118" i="87" s="1"/>
  <c r="R202" i="87" a="1"/>
  <c r="R202" i="87" s="1"/>
  <c r="R33" i="87"/>
  <c r="R37" i="85"/>
  <c r="R72" i="85" s="1" a="1"/>
  <c r="R72" i="85" s="1"/>
  <c r="R29" i="86"/>
  <c r="R36" i="85"/>
  <c r="R71" i="85" s="1" a="1"/>
  <c r="R71" i="85" s="1"/>
  <c r="R32" i="87"/>
  <c r="R150" i="87" a="1"/>
  <c r="R150" i="87" s="1"/>
  <c r="R113" i="87" a="1"/>
  <c r="R113" i="87" s="1"/>
  <c r="R197" i="87" a="1"/>
  <c r="R197" i="87" s="1"/>
  <c r="P30" i="87"/>
  <c r="P34" i="85"/>
  <c r="P69" i="85" s="1" a="1"/>
  <c r="P69" i="85" s="1"/>
  <c r="R40" i="85"/>
  <c r="R36" i="87"/>
  <c r="P112" i="87" a="1"/>
  <c r="P112" i="87" s="1"/>
  <c r="P149" i="87" a="1"/>
  <c r="P149" i="87" s="1"/>
  <c r="P196" i="87" a="1"/>
  <c r="P196" i="87" s="1"/>
  <c r="P23" i="87"/>
  <c r="P27" i="85"/>
  <c r="P62" i="85" s="1" a="1"/>
  <c r="P62" i="85" s="1"/>
  <c r="R31" i="85"/>
  <c r="R66" i="85" s="1" a="1"/>
  <c r="R66" i="85" s="1"/>
  <c r="R27" i="87"/>
  <c r="R28" i="86"/>
  <c r="R26" i="87"/>
  <c r="R30" i="85"/>
  <c r="P31" i="87"/>
  <c r="P35" i="85"/>
  <c r="R33" i="85"/>
  <c r="R68" i="85" s="1" a="1"/>
  <c r="R68" i="85" s="1"/>
  <c r="R29" i="87"/>
  <c r="R38" i="85"/>
  <c r="R73" i="85" s="1" a="1"/>
  <c r="R73" i="85" s="1"/>
  <c r="R34" i="87"/>
  <c r="P37" i="85"/>
  <c r="P72" i="85" s="1" a="1"/>
  <c r="P72" i="85" s="1"/>
  <c r="P33" i="87"/>
  <c r="P25" i="87"/>
  <c r="P29" i="85"/>
  <c r="P64" i="85" s="1" a="1"/>
  <c r="P64" i="85" s="1"/>
  <c r="F28" i="87"/>
  <c r="F32" i="85"/>
  <c r="F67" i="85" s="1" a="1"/>
  <c r="F67" i="85" s="1"/>
  <c r="E26" i="89"/>
  <c r="I38" i="89" s="1"/>
  <c r="F36" i="85"/>
  <c r="F71" i="85" s="1" a="1"/>
  <c r="F71" i="85" s="1"/>
  <c r="F32" i="87"/>
  <c r="F29" i="86"/>
  <c r="F33" i="85"/>
  <c r="F68" i="85" s="1" a="1"/>
  <c r="F68" i="85" s="1"/>
  <c r="F29" i="87"/>
  <c r="F34" i="85"/>
  <c r="F69" i="85" s="1" a="1"/>
  <c r="F69" i="85" s="1"/>
  <c r="F30" i="87"/>
  <c r="F28" i="86"/>
  <c r="F31" i="85"/>
  <c r="F66" i="85" s="1" a="1"/>
  <c r="F66" i="85" s="1"/>
  <c r="F27" i="87"/>
  <c r="F31" i="87"/>
  <c r="F35" i="85"/>
  <c r="E23" i="106"/>
  <c r="E19" i="105"/>
  <c r="H19" i="105" s="1" a="1"/>
  <c r="H19" i="105" s="1"/>
  <c r="E59" i="105" s="1"/>
  <c r="E264" i="116"/>
  <c r="E267" i="116"/>
  <c r="E263" i="116"/>
  <c r="E266" i="116"/>
  <c r="E132" i="116"/>
  <c r="E160" i="116" s="1"/>
  <c r="E37" i="13" a="1"/>
  <c r="E37" i="13" s="1"/>
  <c r="F37" i="13" a="1"/>
  <c r="F37" i="13" s="1"/>
  <c r="E151" i="109"/>
  <c r="E22" i="13" s="1" a="1"/>
  <c r="E22" i="13" s="1"/>
  <c r="F22" i="13" s="1"/>
  <c r="I22" i="13" s="1"/>
  <c r="E192" i="109"/>
  <c r="E603" i="116" s="1"/>
  <c r="E58" i="97"/>
  <c r="I531" i="116" s="1"/>
  <c r="E67" i="96"/>
  <c r="E16" i="13" s="1" a="1"/>
  <c r="E16" i="13" s="1"/>
  <c r="F16" i="13" s="1"/>
  <c r="E70" i="96"/>
  <c r="I530" i="116" s="1"/>
  <c r="E55" i="97"/>
  <c r="E19" i="13" s="1" a="1"/>
  <c r="E19" i="13" s="1"/>
  <c r="F19" i="13" s="1"/>
  <c r="E68" i="96"/>
  <c r="E17" i="13" s="1" a="1"/>
  <c r="E17" i="13" s="1"/>
  <c r="H16" i="13" s="1"/>
  <c r="E57" i="97"/>
  <c r="E21" i="13" s="1" a="1"/>
  <c r="E21" i="13" s="1"/>
  <c r="F21" i="13" s="1"/>
  <c r="E56" i="97"/>
  <c r="E20" i="13" s="1" a="1"/>
  <c r="E20" i="13" s="1"/>
  <c r="E69" i="96"/>
  <c r="E18" i="13" s="1" a="1"/>
  <c r="E18" i="13" s="1"/>
  <c r="F18" i="13" s="1"/>
  <c r="F200" i="84" a="1"/>
  <c r="F200" i="84" s="1"/>
  <c r="F201" i="84" a="1"/>
  <c r="F201" i="84" s="1"/>
  <c r="F202" i="84" a="1"/>
  <c r="F202" i="84" s="1"/>
  <c r="F203" i="84" a="1"/>
  <c r="F203" i="84" s="1"/>
  <c r="F193" i="84" a="1"/>
  <c r="F193" i="84" s="1"/>
  <c r="F189" i="84" a="1"/>
  <c r="F189" i="84" s="1"/>
  <c r="F190" i="84" a="1"/>
  <c r="F190" i="84" s="1"/>
  <c r="F191" i="84" a="1"/>
  <c r="F191" i="84" s="1"/>
  <c r="F192" i="84" a="1"/>
  <c r="F192" i="84" s="1"/>
  <c r="H201" i="84" a="1"/>
  <c r="H201" i="84" s="1"/>
  <c r="H200" i="84" a="1"/>
  <c r="H200" i="84" s="1"/>
  <c r="H199" i="84" a="1"/>
  <c r="H199" i="84" s="1"/>
  <c r="H202" i="84" a="1"/>
  <c r="H202" i="84" s="1"/>
  <c r="H203" i="84" a="1"/>
  <c r="H203" i="84" s="1"/>
  <c r="I191" i="84" a="1"/>
  <c r="I191" i="84" s="1"/>
  <c r="I190" i="84" a="1"/>
  <c r="I190" i="84" s="1"/>
  <c r="I189" i="84" a="1"/>
  <c r="I189" i="84" s="1"/>
  <c r="I192" i="84" a="1"/>
  <c r="I192" i="84" s="1"/>
  <c r="I193" i="84" a="1"/>
  <c r="I193" i="84" s="1"/>
  <c r="S202" i="84" a="1"/>
  <c r="S202" i="84" s="1"/>
  <c r="S201" i="84" a="1"/>
  <c r="S201" i="84" s="1"/>
  <c r="S200" i="84" a="1"/>
  <c r="S200" i="84" s="1"/>
  <c r="S203" i="84" a="1"/>
  <c r="S203" i="84" s="1"/>
  <c r="S199" i="84" a="1"/>
  <c r="S199" i="84" s="1"/>
  <c r="G201" i="84" a="1"/>
  <c r="G201" i="84" s="1"/>
  <c r="G203" i="84" a="1"/>
  <c r="G203" i="84" s="1"/>
  <c r="G199" i="84" a="1"/>
  <c r="G199" i="84" s="1"/>
  <c r="G200" i="84" a="1"/>
  <c r="G200" i="84" s="1"/>
  <c r="G202" i="84" a="1"/>
  <c r="G202" i="84" s="1"/>
  <c r="H198" i="84" a="1"/>
  <c r="H198" i="84" s="1"/>
  <c r="H194" i="84" a="1"/>
  <c r="H194" i="84" s="1"/>
  <c r="H197" i="84" a="1"/>
  <c r="H197" i="84" s="1"/>
  <c r="H196" i="84" a="1"/>
  <c r="H196" i="84" s="1"/>
  <c r="H195" i="84" a="1"/>
  <c r="H195" i="84" s="1"/>
  <c r="S195" i="84" a="1"/>
  <c r="S195" i="84" s="1"/>
  <c r="S198" i="84" a="1"/>
  <c r="S198" i="84" s="1"/>
  <c r="S197" i="84" a="1"/>
  <c r="S197" i="84" s="1"/>
  <c r="S196" i="84" a="1"/>
  <c r="S196" i="84" s="1"/>
  <c r="S194" i="84" a="1"/>
  <c r="S194" i="84" s="1"/>
  <c r="Q193" i="84" a="1"/>
  <c r="Q193" i="84" s="1"/>
  <c r="Q189" i="84" a="1"/>
  <c r="Q189" i="84" s="1"/>
  <c r="Q191" i="84" a="1"/>
  <c r="Q191" i="84" s="1"/>
  <c r="Q190" i="84" a="1"/>
  <c r="Q190" i="84" s="1"/>
  <c r="Q192" i="84" a="1"/>
  <c r="Q192" i="84" s="1"/>
  <c r="H191" i="84" a="1"/>
  <c r="H191" i="84" s="1"/>
  <c r="H193" i="84" a="1"/>
  <c r="H193" i="84" s="1"/>
  <c r="H189" i="84" a="1"/>
  <c r="H189" i="84" s="1"/>
  <c r="H192" i="84" a="1"/>
  <c r="H192" i="84" s="1"/>
  <c r="H190" i="84" a="1"/>
  <c r="H190" i="84" s="1"/>
  <c r="G192" i="84" a="1"/>
  <c r="G192" i="84" s="1"/>
  <c r="G189" i="84" a="1"/>
  <c r="G189" i="84" s="1"/>
  <c r="G191" i="84" a="1"/>
  <c r="G191" i="84" s="1"/>
  <c r="G190" i="84" a="1"/>
  <c r="G190" i="84" s="1"/>
  <c r="G193" i="84" a="1"/>
  <c r="G193" i="84" s="1"/>
  <c r="Q196" i="84" a="1"/>
  <c r="Q196" i="84" s="1"/>
  <c r="Q198" i="84" a="1"/>
  <c r="Q198" i="84" s="1"/>
  <c r="Q194" i="84" a="1"/>
  <c r="Q194" i="84" s="1"/>
  <c r="Q197" i="84" a="1"/>
  <c r="Q197" i="84" s="1"/>
  <c r="Q195" i="84" a="1"/>
  <c r="Q195" i="84" s="1"/>
  <c r="I197" i="84" a="1"/>
  <c r="I197" i="84" s="1"/>
  <c r="I194" i="84" a="1"/>
  <c r="I194" i="84" s="1"/>
  <c r="I195" i="84" a="1"/>
  <c r="I195" i="84" s="1"/>
  <c r="I196" i="84" a="1"/>
  <c r="I196" i="84" s="1"/>
  <c r="I198" i="84" a="1"/>
  <c r="I198" i="84" s="1"/>
  <c r="I200" i="84" a="1"/>
  <c r="I200" i="84" s="1"/>
  <c r="I203" i="84" a="1"/>
  <c r="I203" i="84" s="1"/>
  <c r="I199" i="84" a="1"/>
  <c r="I199" i="84" s="1"/>
  <c r="I202" i="84" a="1"/>
  <c r="I202" i="84" s="1"/>
  <c r="I201" i="84" a="1"/>
  <c r="I201" i="84" s="1"/>
  <c r="Q203" i="84" a="1"/>
  <c r="Q203" i="84" s="1"/>
  <c r="Q199" i="84" a="1"/>
  <c r="Q199" i="84" s="1"/>
  <c r="Q202" i="84" a="1"/>
  <c r="Q202" i="84" s="1"/>
  <c r="Q201" i="84" a="1"/>
  <c r="Q201" i="84" s="1"/>
  <c r="Q200" i="84" a="1"/>
  <c r="Q200" i="84" s="1"/>
  <c r="G195" i="84" a="1"/>
  <c r="G195" i="84" s="1"/>
  <c r="G198" i="84" a="1"/>
  <c r="G198" i="84" s="1"/>
  <c r="G196" i="84" a="1"/>
  <c r="G196" i="84" s="1"/>
  <c r="G197" i="84" a="1"/>
  <c r="G197" i="84" s="1"/>
  <c r="G194" i="84" a="1"/>
  <c r="G194" i="84" s="1"/>
  <c r="S189" i="84" a="1"/>
  <c r="S189" i="84" s="1"/>
  <c r="S192" i="84" a="1"/>
  <c r="S192" i="84" s="1"/>
  <c r="S190" i="84" a="1"/>
  <c r="S190" i="84" s="1"/>
  <c r="S193" i="84" a="1"/>
  <c r="S193" i="84" s="1"/>
  <c r="S191" i="84" a="1"/>
  <c r="S191" i="84" s="1"/>
  <c r="F54" i="80"/>
  <c r="F55" i="80" s="1"/>
  <c r="F44" i="80"/>
  <c r="G59" i="80"/>
  <c r="G54" i="80"/>
  <c r="G55" i="80" s="1"/>
  <c r="N35" i="101" l="1"/>
  <c r="S92" i="101"/>
  <c r="R28" i="85"/>
  <c r="R63" i="85" s="1" a="1"/>
  <c r="R63" i="85" s="1"/>
  <c r="R24" i="87"/>
  <c r="R107" i="87" s="1" a="1"/>
  <c r="R107" i="87" s="1"/>
  <c r="P29" i="86"/>
  <c r="P32" i="87"/>
  <c r="P106" i="87" a="1"/>
  <c r="P106" i="87" s="1"/>
  <c r="P190" i="87" a="1"/>
  <c r="P190" i="87" s="1"/>
  <c r="P143" i="87" a="1"/>
  <c r="P143" i="87" s="1"/>
  <c r="Q34" i="87"/>
  <c r="Q38" i="85"/>
  <c r="Q73" i="85" s="1" a="1"/>
  <c r="Q73" i="85" s="1"/>
  <c r="Q28" i="87"/>
  <c r="Q32" i="85"/>
  <c r="Q67" i="85" s="1" a="1"/>
  <c r="Q67" i="85" s="1"/>
  <c r="R145" i="87" a="1"/>
  <c r="R145" i="87" s="1"/>
  <c r="R192" i="87" a="1"/>
  <c r="R192" i="87" s="1"/>
  <c r="R108" i="87" a="1"/>
  <c r="R108" i="87" s="1"/>
  <c r="Q23" i="87"/>
  <c r="Q27" i="85"/>
  <c r="Q62" i="85" s="1" a="1"/>
  <c r="Q62" i="85" s="1"/>
  <c r="P195" i="87" a="1"/>
  <c r="P195" i="87" s="1"/>
  <c r="P148" i="87" a="1"/>
  <c r="P148" i="87" s="1"/>
  <c r="P111" i="87" a="1"/>
  <c r="P111" i="87" s="1"/>
  <c r="Q32" i="87"/>
  <c r="Q29" i="86"/>
  <c r="Q36" i="85"/>
  <c r="Q71" i="85" s="1" a="1"/>
  <c r="Q71" i="85" s="1"/>
  <c r="R196" i="87" a="1"/>
  <c r="R196" i="87" s="1"/>
  <c r="R112" i="87" a="1"/>
  <c r="R112" i="87" s="1"/>
  <c r="R149" i="87" a="1"/>
  <c r="R149" i="87" s="1"/>
  <c r="Q40" i="85"/>
  <c r="Q36" i="87"/>
  <c r="S26" i="87"/>
  <c r="S30" i="85"/>
  <c r="Q24" i="87"/>
  <c r="Q28" i="85"/>
  <c r="Q63" i="85" s="1" a="1"/>
  <c r="Q63" i="85" s="1"/>
  <c r="S23" i="87"/>
  <c r="S27" i="85"/>
  <c r="S62" i="85" s="1" a="1"/>
  <c r="S62" i="85" s="1"/>
  <c r="Q33" i="85"/>
  <c r="Q68" i="85" s="1" a="1"/>
  <c r="Q68" i="85" s="1"/>
  <c r="Q29" i="87"/>
  <c r="Q27" i="86"/>
  <c r="Q26" i="85"/>
  <c r="Q61" i="85" s="1" a="1"/>
  <c r="Q61" i="85" s="1"/>
  <c r="Q22" i="87"/>
  <c r="R200" i="87" a="1"/>
  <c r="R200" i="87" s="1"/>
  <c r="R153" i="87" a="1"/>
  <c r="R153" i="87" s="1"/>
  <c r="R116" i="87" a="1"/>
  <c r="R116" i="87" s="1"/>
  <c r="P119" i="87" a="1"/>
  <c r="P119" i="87" s="1"/>
  <c r="P156" i="87" a="1"/>
  <c r="P156" i="87" s="1"/>
  <c r="P203" i="87" a="1"/>
  <c r="P203" i="87" s="1"/>
  <c r="R117" i="87" a="1"/>
  <c r="R117" i="87" s="1"/>
  <c r="R201" i="87" a="1"/>
  <c r="R201" i="87" s="1"/>
  <c r="R154" i="87" a="1"/>
  <c r="R154" i="87" s="1"/>
  <c r="R203" i="87" a="1"/>
  <c r="R203" i="87" s="1"/>
  <c r="R119" i="87" a="1"/>
  <c r="R119" i="87" s="1"/>
  <c r="R156" i="87" a="1"/>
  <c r="R156" i="87" s="1"/>
  <c r="P201" i="87" a="1"/>
  <c r="P201" i="87" s="1"/>
  <c r="P117" i="87" a="1"/>
  <c r="P117" i="87" s="1"/>
  <c r="P154" i="87" a="1"/>
  <c r="P154" i="87" s="1"/>
  <c r="R190" i="87" a="1"/>
  <c r="R190" i="87" s="1"/>
  <c r="R106" i="87" a="1"/>
  <c r="R106" i="87" s="1"/>
  <c r="R143" i="87" a="1"/>
  <c r="R143" i="87" s="1"/>
  <c r="S28" i="87"/>
  <c r="S32" i="85"/>
  <c r="S67" i="85" s="1" a="1"/>
  <c r="S67" i="85" s="1"/>
  <c r="S35" i="87"/>
  <c r="S39" i="85"/>
  <c r="S74" i="85" s="1" a="1"/>
  <c r="S74" i="85" s="1"/>
  <c r="Q35" i="87"/>
  <c r="Q39" i="85"/>
  <c r="Q74" i="85" s="1" a="1"/>
  <c r="Q74" i="85" s="1"/>
  <c r="S24" i="87"/>
  <c r="S28" i="85"/>
  <c r="S63" i="85" s="1" a="1"/>
  <c r="S63" i="85" s="1"/>
  <c r="Q27" i="87"/>
  <c r="Q28" i="86"/>
  <c r="Q31" i="85"/>
  <c r="Q66" i="85" s="1" a="1"/>
  <c r="Q66" i="85" s="1"/>
  <c r="Q35" i="85"/>
  <c r="Q31" i="87"/>
  <c r="Q30" i="85"/>
  <c r="Q26" i="87"/>
  <c r="S22" i="87"/>
  <c r="S27" i="86"/>
  <c r="S26" i="85"/>
  <c r="S61" i="85" s="1" a="1"/>
  <c r="S61" i="85" s="1"/>
  <c r="P198" i="87" a="1"/>
  <c r="P198" i="87" s="1"/>
  <c r="P114" i="87" a="1"/>
  <c r="P114" i="87" s="1"/>
  <c r="P151" i="87" a="1"/>
  <c r="P151" i="87" s="1"/>
  <c r="S34" i="87"/>
  <c r="S38" i="85"/>
  <c r="S73" i="85" s="1" a="1"/>
  <c r="S73" i="85" s="1"/>
  <c r="Q37" i="85"/>
  <c r="Q72" i="85" s="1" a="1"/>
  <c r="Q72" i="85" s="1"/>
  <c r="Q33" i="87"/>
  <c r="S29" i="85"/>
  <c r="S64" i="85" s="1" a="1"/>
  <c r="S64" i="85" s="1"/>
  <c r="S25" i="87"/>
  <c r="S31" i="85"/>
  <c r="S66" i="85" s="1" a="1"/>
  <c r="S66" i="85" s="1"/>
  <c r="S27" i="87"/>
  <c r="S28" i="86"/>
  <c r="S33" i="85"/>
  <c r="S68" i="85" s="1" a="1"/>
  <c r="S68" i="85" s="1"/>
  <c r="S29" i="87"/>
  <c r="S29" i="86"/>
  <c r="S36" i="85"/>
  <c r="S71" i="85" s="1" a="1"/>
  <c r="S71" i="85" s="1"/>
  <c r="S32" i="87"/>
  <c r="P108" i="87" a="1"/>
  <c r="P108" i="87" s="1"/>
  <c r="P145" i="87" a="1"/>
  <c r="P145" i="87" s="1"/>
  <c r="P192" i="87" a="1"/>
  <c r="P192" i="87" s="1"/>
  <c r="P144" i="87" a="1"/>
  <c r="P144" i="87" s="1"/>
  <c r="P191" i="87" a="1"/>
  <c r="P191" i="87" s="1"/>
  <c r="P107" i="87" a="1"/>
  <c r="P107" i="87" s="1"/>
  <c r="Q30" i="87"/>
  <c r="Q34" i="85"/>
  <c r="Q69" i="85" s="1" a="1"/>
  <c r="Q69" i="85" s="1"/>
  <c r="S30" i="87"/>
  <c r="S34" i="85"/>
  <c r="S69" i="85" s="1" a="1"/>
  <c r="S69" i="85" s="1"/>
  <c r="S40" i="85"/>
  <c r="S36" i="87"/>
  <c r="R193" i="87" a="1"/>
  <c r="R193" i="87" s="1"/>
  <c r="R146" i="87" a="1"/>
  <c r="R146" i="87" s="1"/>
  <c r="R109" i="87" a="1"/>
  <c r="R109" i="87" s="1"/>
  <c r="P113" i="87" a="1"/>
  <c r="P113" i="87" s="1"/>
  <c r="P150" i="87" a="1"/>
  <c r="P150" i="87" s="1"/>
  <c r="P197" i="87" a="1"/>
  <c r="P197" i="87" s="1"/>
  <c r="Q25" i="87"/>
  <c r="Q29" i="85"/>
  <c r="Q64" i="85" s="1" a="1"/>
  <c r="Q64" i="85" s="1"/>
  <c r="S31" i="87"/>
  <c r="S35" i="85"/>
  <c r="S33" i="87"/>
  <c r="S37" i="85"/>
  <c r="S72" i="85" s="1" a="1"/>
  <c r="S72" i="85" s="1"/>
  <c r="P116" i="87" a="1"/>
  <c r="P116" i="87" s="1"/>
  <c r="P200" i="87" a="1"/>
  <c r="P200" i="87" s="1"/>
  <c r="P153" i="87" a="1"/>
  <c r="P153" i="87" s="1"/>
  <c r="P35" i="87"/>
  <c r="P39" i="85"/>
  <c r="P74" i="85" s="1" a="1"/>
  <c r="P74" i="85" s="1"/>
  <c r="P146" i="87" a="1"/>
  <c r="P146" i="87" s="1"/>
  <c r="P193" i="87" a="1"/>
  <c r="P193" i="87" s="1"/>
  <c r="P109" i="87" a="1"/>
  <c r="P109" i="87" s="1"/>
  <c r="R195" i="87" a="1"/>
  <c r="R195" i="87" s="1"/>
  <c r="R148" i="87" a="1"/>
  <c r="R148" i="87" s="1"/>
  <c r="R111" i="87" a="1"/>
  <c r="R111" i="87" s="1"/>
  <c r="R151" i="87" a="1"/>
  <c r="R151" i="87" s="1"/>
  <c r="R198" i="87" a="1"/>
  <c r="R198" i="87" s="1"/>
  <c r="R114" i="87" a="1"/>
  <c r="R114" i="87" s="1"/>
  <c r="I36" i="87"/>
  <c r="I40" i="85"/>
  <c r="G33" i="85"/>
  <c r="G68" i="85" s="1" a="1"/>
  <c r="G68" i="85" s="1"/>
  <c r="G29" i="87"/>
  <c r="I27" i="85"/>
  <c r="I62" i="85" s="1" a="1"/>
  <c r="I62" i="85" s="1"/>
  <c r="I23" i="87"/>
  <c r="H29" i="85"/>
  <c r="H64" i="85" s="1" a="1"/>
  <c r="H64" i="85" s="1"/>
  <c r="H25" i="87"/>
  <c r="H28" i="85"/>
  <c r="H63" i="85" s="1" a="1"/>
  <c r="H63" i="85" s="1"/>
  <c r="H24" i="87"/>
  <c r="H35" i="85"/>
  <c r="H31" i="87"/>
  <c r="F35" i="87"/>
  <c r="F39" i="85"/>
  <c r="F74" i="85" s="1" a="1"/>
  <c r="F74" i="85" s="1"/>
  <c r="G39" i="85"/>
  <c r="G74" i="85" s="1" a="1"/>
  <c r="G74" i="85" s="1"/>
  <c r="G35" i="87"/>
  <c r="I28" i="85"/>
  <c r="I63" i="85" s="1" a="1"/>
  <c r="I63" i="85" s="1"/>
  <c r="I24" i="87"/>
  <c r="F38" i="85"/>
  <c r="F73" i="85" s="1" a="1"/>
  <c r="F73" i="85" s="1"/>
  <c r="F34" i="87"/>
  <c r="F196" i="87" a="1"/>
  <c r="F196" i="87" s="1"/>
  <c r="F149" i="87" a="1"/>
  <c r="F149" i="87" s="1"/>
  <c r="F112" i="87" a="1"/>
  <c r="F112" i="87" s="1"/>
  <c r="I38" i="85"/>
  <c r="I73" i="85" s="1" a="1"/>
  <c r="I73" i="85" s="1"/>
  <c r="I34" i="87"/>
  <c r="G37" i="85"/>
  <c r="G72" i="85" s="1" a="1"/>
  <c r="G72" i="85" s="1"/>
  <c r="G33" i="87"/>
  <c r="H36" i="87"/>
  <c r="H40" i="85"/>
  <c r="F37" i="85"/>
  <c r="F72" i="85" s="1" a="1"/>
  <c r="F72" i="85" s="1"/>
  <c r="F33" i="87"/>
  <c r="I37" i="85"/>
  <c r="I72" i="85" s="1" a="1"/>
  <c r="I72" i="85" s="1"/>
  <c r="I33" i="87"/>
  <c r="I29" i="87"/>
  <c r="I33" i="85"/>
  <c r="I68" i="85" s="1" a="1"/>
  <c r="I68" i="85" s="1"/>
  <c r="I39" i="85"/>
  <c r="I74" i="85" s="1" a="1"/>
  <c r="I74" i="85" s="1"/>
  <c r="I35" i="87"/>
  <c r="G36" i="85"/>
  <c r="G71" i="85" s="1" a="1"/>
  <c r="G71" i="85" s="1"/>
  <c r="G32" i="87"/>
  <c r="G29" i="86"/>
  <c r="H39" i="85"/>
  <c r="H74" i="85" s="1" a="1"/>
  <c r="H74" i="85" s="1"/>
  <c r="H35" i="87"/>
  <c r="G28" i="86"/>
  <c r="G31" i="85"/>
  <c r="G66" i="85" s="1" a="1"/>
  <c r="G66" i="85" s="1"/>
  <c r="G27" i="87"/>
  <c r="G31" i="87"/>
  <c r="G35" i="85"/>
  <c r="H32" i="85"/>
  <c r="H67" i="85" s="1" a="1"/>
  <c r="H67" i="85" s="1"/>
  <c r="H28" i="87"/>
  <c r="I36" i="85"/>
  <c r="I71" i="85" s="1" a="1"/>
  <c r="I71" i="85" s="1"/>
  <c r="I32" i="87"/>
  <c r="I29" i="86"/>
  <c r="G30" i="85"/>
  <c r="G26" i="87"/>
  <c r="G40" i="85"/>
  <c r="G36" i="87"/>
  <c r="H36" i="85"/>
  <c r="H71" i="85" s="1" a="1"/>
  <c r="H71" i="85" s="1"/>
  <c r="H32" i="87"/>
  <c r="H29" i="86"/>
  <c r="G38" i="85"/>
  <c r="G73" i="85" s="1" a="1"/>
  <c r="G73" i="85" s="1"/>
  <c r="G34" i="87"/>
  <c r="H37" i="85"/>
  <c r="H72" i="85" s="1" a="1"/>
  <c r="H72" i="85" s="1"/>
  <c r="H33" i="87"/>
  <c r="G27" i="86"/>
  <c r="G22" i="87"/>
  <c r="G26" i="85"/>
  <c r="G61" i="85" s="1" a="1"/>
  <c r="G61" i="85" s="1"/>
  <c r="F198" i="87" a="1"/>
  <c r="F198" i="87" s="1"/>
  <c r="F151" i="87" a="1"/>
  <c r="F151" i="87" s="1"/>
  <c r="F114" i="87" a="1"/>
  <c r="F114" i="87" s="1"/>
  <c r="G29" i="85"/>
  <c r="G64" i="85" s="1" a="1"/>
  <c r="G64" i="85" s="1"/>
  <c r="G25" i="87"/>
  <c r="F29" i="85"/>
  <c r="F64" i="85" s="1" a="1"/>
  <c r="F64" i="85" s="1"/>
  <c r="F25" i="87"/>
  <c r="G34" i="85"/>
  <c r="G69" i="85" s="1" a="1"/>
  <c r="G69" i="85" s="1"/>
  <c r="G30" i="87"/>
  <c r="H27" i="85"/>
  <c r="H62" i="85" s="1" a="1"/>
  <c r="H62" i="85" s="1"/>
  <c r="H23" i="87"/>
  <c r="F24" i="87"/>
  <c r="F28" i="85"/>
  <c r="F63" i="85" s="1" a="1"/>
  <c r="F63" i="85" s="1"/>
  <c r="G27" i="85"/>
  <c r="G62" i="85" s="1" a="1"/>
  <c r="G62" i="85" s="1"/>
  <c r="G23" i="87"/>
  <c r="G32" i="85"/>
  <c r="G67" i="85" s="1" a="1"/>
  <c r="G67" i="85" s="1"/>
  <c r="G28" i="87"/>
  <c r="F27" i="85"/>
  <c r="F62" i="85" s="1" a="1"/>
  <c r="F62" i="85" s="1"/>
  <c r="F23" i="87"/>
  <c r="G24" i="87"/>
  <c r="G28" i="85"/>
  <c r="G63" i="85" s="1" a="1"/>
  <c r="G63" i="85" s="1"/>
  <c r="I31" i="85"/>
  <c r="I66" i="85" s="1" a="1"/>
  <c r="I66" i="85" s="1"/>
  <c r="I27" i="87"/>
  <c r="I28" i="86"/>
  <c r="I30" i="85"/>
  <c r="I26" i="87"/>
  <c r="I32" i="85"/>
  <c r="I67" i="85" s="1" a="1"/>
  <c r="I67" i="85" s="1"/>
  <c r="I28" i="87"/>
  <c r="I34" i="85"/>
  <c r="I69" i="85" s="1" a="1"/>
  <c r="I69" i="85" s="1"/>
  <c r="I30" i="87"/>
  <c r="H27" i="86"/>
  <c r="H26" i="85"/>
  <c r="H61" i="85" s="1" a="1"/>
  <c r="H61" i="85" s="1"/>
  <c r="H22" i="87"/>
  <c r="H29" i="87"/>
  <c r="H33" i="85"/>
  <c r="H68" i="85" s="1" a="1"/>
  <c r="H68" i="85" s="1"/>
  <c r="F26" i="85"/>
  <c r="F61" i="85" s="1" a="1"/>
  <c r="F61" i="85" s="1"/>
  <c r="F27" i="86"/>
  <c r="F22" i="87"/>
  <c r="H26" i="87"/>
  <c r="H30" i="85"/>
  <c r="H34" i="85"/>
  <c r="H69" i="85" s="1" a="1"/>
  <c r="H69" i="85" s="1"/>
  <c r="H30" i="87"/>
  <c r="I29" i="85"/>
  <c r="I64" i="85" s="1" a="1"/>
  <c r="I64" i="85" s="1"/>
  <c r="I25" i="87"/>
  <c r="F30" i="85"/>
  <c r="F26" i="87"/>
  <c r="F197" i="87" a="1"/>
  <c r="F197" i="87" s="1"/>
  <c r="F150" i="87" a="1"/>
  <c r="F150" i="87" s="1"/>
  <c r="F113" i="87" a="1"/>
  <c r="F113" i="87" s="1"/>
  <c r="F148" i="87" a="1"/>
  <c r="F148" i="87" s="1"/>
  <c r="F195" i="87" a="1"/>
  <c r="F195" i="87" s="1"/>
  <c r="F111" i="87" a="1"/>
  <c r="F111" i="87" s="1"/>
  <c r="H38" i="85"/>
  <c r="H73" i="85" s="1" a="1"/>
  <c r="H73" i="85" s="1"/>
  <c r="H34" i="87"/>
  <c r="I35" i="85"/>
  <c r="I31" i="87"/>
  <c r="H31" i="85"/>
  <c r="H66" i="85" s="1" a="1"/>
  <c r="H66" i="85" s="1"/>
  <c r="H27" i="87"/>
  <c r="H28" i="86"/>
  <c r="I27" i="86"/>
  <c r="I26" i="85"/>
  <c r="I61" i="85" s="1" a="1"/>
  <c r="I61" i="85" s="1"/>
  <c r="I22" i="87"/>
  <c r="F40" i="85"/>
  <c r="F36" i="87"/>
  <c r="E533" i="116" a="1"/>
  <c r="E533" i="116" s="1"/>
  <c r="E42" i="13" s="1" a="1"/>
  <c r="E42" i="13" s="1"/>
  <c r="H22" i="13"/>
  <c r="F17" i="13"/>
  <c r="I16" i="13" s="1"/>
  <c r="F20" i="13"/>
  <c r="I19" i="13" s="1"/>
  <c r="H19" i="13"/>
  <c r="G44" i="80"/>
  <c r="G46" i="80"/>
  <c r="G47" i="80" s="1"/>
  <c r="G48" i="80"/>
  <c r="D40" i="80"/>
  <c r="D32" i="80"/>
  <c r="D75" i="72" a="1"/>
  <c r="F55" i="72"/>
  <c r="E55" i="72"/>
  <c r="F54" i="72"/>
  <c r="E54" i="72"/>
  <c r="F53" i="72"/>
  <c r="E53" i="72"/>
  <c r="D72" i="72"/>
  <c r="F46" i="13" a="1"/>
  <c r="F46" i="13" s="1"/>
  <c r="I46" i="13" s="1"/>
  <c r="E46" i="13" a="1"/>
  <c r="E46" i="13" s="1"/>
  <c r="H46" i="13" s="1"/>
  <c r="E44" i="13" a="1"/>
  <c r="E44" i="13" s="1"/>
  <c r="F45" i="13" a="1"/>
  <c r="F45" i="13" s="1"/>
  <c r="I45" i="13" s="1"/>
  <c r="E45" i="13" a="1"/>
  <c r="E45" i="13" s="1"/>
  <c r="H45" i="13" s="1"/>
  <c r="E43" i="13" a="1"/>
  <c r="E43" i="13" s="1"/>
  <c r="F41" i="13" a="1"/>
  <c r="F41" i="13" s="1"/>
  <c r="I41" i="13" s="1"/>
  <c r="E41" i="13" a="1"/>
  <c r="E41" i="13" s="1"/>
  <c r="H41" i="13" s="1"/>
  <c r="F39" i="13" a="1"/>
  <c r="F39" i="13" s="1"/>
  <c r="I39" i="13" s="1"/>
  <c r="E39" i="13" a="1"/>
  <c r="E39" i="13" s="1"/>
  <c r="H39" i="13" s="1"/>
  <c r="F38" i="13" a="1"/>
  <c r="F38" i="13" s="1"/>
  <c r="I38" i="13" s="1"/>
  <c r="E38" i="13" a="1"/>
  <c r="E38" i="13" s="1"/>
  <c r="H38" i="13" s="1"/>
  <c r="I37" i="13"/>
  <c r="H37" i="13"/>
  <c r="H36" i="13"/>
  <c r="R144" i="87" l="1" a="1"/>
  <c r="R144" i="87" s="1"/>
  <c r="R191" i="87" a="1"/>
  <c r="R191" i="87" s="1"/>
  <c r="R46" i="101"/>
  <c r="N49" i="101" s="1" a="1"/>
  <c r="N49" i="101" s="1"/>
  <c r="O105" i="101" s="1"/>
  <c r="S93" i="101" s="1"/>
  <c r="R76" i="101"/>
  <c r="N79" i="101" s="1" a="1"/>
  <c r="N79" i="101" s="1"/>
  <c r="O107" i="101" s="1"/>
  <c r="R60" i="101"/>
  <c r="N63" i="101" s="1" a="1"/>
  <c r="N63" i="101" s="1"/>
  <c r="O106" i="101" s="1"/>
  <c r="S196" i="87" a="1"/>
  <c r="S196" i="87" s="1"/>
  <c r="S112" i="87" a="1"/>
  <c r="S112" i="87" s="1"/>
  <c r="S149" i="87" a="1"/>
  <c r="S149" i="87" s="1"/>
  <c r="Q148" i="87" a="1"/>
  <c r="Q148" i="87" s="1"/>
  <c r="Q111" i="87" a="1"/>
  <c r="Q111" i="87" s="1"/>
  <c r="Q195" i="87" a="1"/>
  <c r="Q195" i="87" s="1"/>
  <c r="S144" i="87" a="1"/>
  <c r="S144" i="87" s="1"/>
  <c r="S107" i="87" a="1"/>
  <c r="S107" i="87" s="1"/>
  <c r="S191" i="87" a="1"/>
  <c r="S191" i="87" s="1"/>
  <c r="Q144" i="87" a="1"/>
  <c r="Q144" i="87" s="1"/>
  <c r="Q107" i="87" a="1"/>
  <c r="Q107" i="87" s="1"/>
  <c r="Q191" i="87" a="1"/>
  <c r="Q191" i="87" s="1"/>
  <c r="S156" i="87" a="1"/>
  <c r="S156" i="87" s="1"/>
  <c r="S203" i="87" a="1"/>
  <c r="S203" i="87" s="1"/>
  <c r="S119" i="87" a="1"/>
  <c r="S119" i="87" s="1"/>
  <c r="Q201" i="87" a="1"/>
  <c r="Q201" i="87" s="1"/>
  <c r="Q154" i="87" a="1"/>
  <c r="Q154" i="87" s="1"/>
  <c r="Q117" i="87" a="1"/>
  <c r="Q117" i="87" s="1"/>
  <c r="Q200" i="87" a="1"/>
  <c r="Q200" i="87" s="1"/>
  <c r="Q153" i="87" a="1"/>
  <c r="Q153" i="87" s="1"/>
  <c r="Q116" i="87" a="1"/>
  <c r="Q116" i="87" s="1"/>
  <c r="Q118" i="87" a="1"/>
  <c r="Q118" i="87" s="1"/>
  <c r="Q155" i="87" a="1"/>
  <c r="Q155" i="87" s="1"/>
  <c r="Q202" i="87" a="1"/>
  <c r="Q202" i="87" s="1"/>
  <c r="S109" i="87" a="1"/>
  <c r="S109" i="87" s="1"/>
  <c r="S146" i="87" a="1"/>
  <c r="S146" i="87" s="1"/>
  <c r="S193" i="87" a="1"/>
  <c r="S193" i="87" s="1"/>
  <c r="Q190" i="87" a="1"/>
  <c r="Q190" i="87" s="1"/>
  <c r="Q106" i="87" a="1"/>
  <c r="Q106" i="87" s="1"/>
  <c r="Q143" i="87" a="1"/>
  <c r="Q143" i="87" s="1"/>
  <c r="Q198" i="87" a="1"/>
  <c r="Q198" i="87" s="1"/>
  <c r="Q151" i="87" a="1"/>
  <c r="Q151" i="87" s="1"/>
  <c r="Q114" i="87" a="1"/>
  <c r="Q114" i="87" s="1"/>
  <c r="S153" i="87" a="1"/>
  <c r="S153" i="87" s="1"/>
  <c r="S116" i="87" a="1"/>
  <c r="S116" i="87" s="1"/>
  <c r="S200" i="87" a="1"/>
  <c r="S200" i="87" s="1"/>
  <c r="S198" i="87" a="1"/>
  <c r="S198" i="87" s="1"/>
  <c r="S151" i="87" a="1"/>
  <c r="S151" i="87" s="1"/>
  <c r="S114" i="87" a="1"/>
  <c r="S114" i="87" s="1"/>
  <c r="O77" i="85"/>
  <c r="S89" i="85" s="1"/>
  <c r="Q119" i="87" a="1"/>
  <c r="Q119" i="87" s="1"/>
  <c r="Q156" i="87" a="1"/>
  <c r="Q156" i="87" s="1"/>
  <c r="Q203" i="87" a="1"/>
  <c r="Q203" i="87" s="1"/>
  <c r="S154" i="87" a="1"/>
  <c r="S154" i="87" s="1"/>
  <c r="S201" i="87" a="1"/>
  <c r="S201" i="87" s="1"/>
  <c r="S117" i="87" a="1"/>
  <c r="S117" i="87" s="1"/>
  <c r="S192" i="87" a="1"/>
  <c r="S192" i="87" s="1"/>
  <c r="S145" i="87" a="1"/>
  <c r="S145" i="87" s="1"/>
  <c r="S108" i="87" a="1"/>
  <c r="S108" i="87" s="1"/>
  <c r="S150" i="87" a="1"/>
  <c r="S150" i="87" s="1"/>
  <c r="S197" i="87" a="1"/>
  <c r="S197" i="87" s="1"/>
  <c r="S113" i="87" a="1"/>
  <c r="S113" i="87" s="1"/>
  <c r="Q109" i="87" a="1"/>
  <c r="Q109" i="87" s="1"/>
  <c r="Q193" i="87" a="1"/>
  <c r="Q193" i="87" s="1"/>
  <c r="Q146" i="87" a="1"/>
  <c r="Q146" i="87" s="1"/>
  <c r="Q145" i="87" a="1"/>
  <c r="Q145" i="87" s="1"/>
  <c r="Q108" i="87" a="1"/>
  <c r="Q108" i="87" s="1"/>
  <c r="Q192" i="87" a="1"/>
  <c r="Q192" i="87" s="1"/>
  <c r="S155" i="87" a="1"/>
  <c r="S155" i="87" s="1"/>
  <c r="S118" i="87" a="1"/>
  <c r="S118" i="87" s="1"/>
  <c r="S202" i="87" a="1"/>
  <c r="S202" i="87" s="1"/>
  <c r="Q196" i="87" a="1"/>
  <c r="Q196" i="87" s="1"/>
  <c r="Q112" i="87" a="1"/>
  <c r="Q112" i="87" s="1"/>
  <c r="Q149" i="87" a="1"/>
  <c r="Q149" i="87" s="1"/>
  <c r="Q197" i="87" a="1"/>
  <c r="Q197" i="87" s="1"/>
  <c r="Q150" i="87" a="1"/>
  <c r="Q150" i="87" s="1"/>
  <c r="Q113" i="87" a="1"/>
  <c r="Q113" i="87" s="1"/>
  <c r="P118" i="87" a="1"/>
  <c r="P118" i="87" s="1"/>
  <c r="P202" i="87" a="1"/>
  <c r="P202" i="87" s="1"/>
  <c r="P155" i="87" a="1"/>
  <c r="P155" i="87" s="1"/>
  <c r="S195" i="87" a="1"/>
  <c r="S195" i="87" s="1"/>
  <c r="S111" i="87" a="1"/>
  <c r="S111" i="87" s="1"/>
  <c r="S148" i="87" a="1"/>
  <c r="S148" i="87" s="1"/>
  <c r="S106" i="87" a="1"/>
  <c r="S106" i="87" s="1"/>
  <c r="S190" i="87" a="1"/>
  <c r="S190" i="87" s="1"/>
  <c r="S143" i="87" a="1"/>
  <c r="S143" i="87" s="1"/>
  <c r="H111" i="87" a="1"/>
  <c r="H111" i="87" s="1"/>
  <c r="H148" i="87" a="1"/>
  <c r="H148" i="87" s="1"/>
  <c r="H195" i="87" a="1"/>
  <c r="H195" i="87" s="1"/>
  <c r="I191" i="87" a="1"/>
  <c r="I191" i="87" s="1"/>
  <c r="I107" i="87" a="1"/>
  <c r="I107" i="87" s="1"/>
  <c r="I144" i="87" a="1"/>
  <c r="I144" i="87" s="1"/>
  <c r="H145" i="87" a="1"/>
  <c r="H145" i="87" s="1"/>
  <c r="H192" i="87" a="1"/>
  <c r="H192" i="87" s="1"/>
  <c r="H108" i="87" a="1"/>
  <c r="H108" i="87" s="1"/>
  <c r="F156" i="87" a="1"/>
  <c r="F156" i="87" s="1"/>
  <c r="F119" i="87" a="1"/>
  <c r="F119" i="87" s="1"/>
  <c r="F203" i="87" a="1"/>
  <c r="F203" i="87" s="1"/>
  <c r="I111" i="87" a="1"/>
  <c r="I111" i="87" s="1"/>
  <c r="I148" i="87" a="1"/>
  <c r="I148" i="87" s="1"/>
  <c r="I195" i="87" a="1"/>
  <c r="I195" i="87" s="1"/>
  <c r="H143" i="87" a="1"/>
  <c r="H143" i="87" s="1"/>
  <c r="H106" i="87" a="1"/>
  <c r="H106" i="87" s="1"/>
  <c r="H190" i="87" a="1"/>
  <c r="H190" i="87" s="1"/>
  <c r="I155" i="87" a="1"/>
  <c r="I155" i="87" s="1"/>
  <c r="I118" i="87" a="1"/>
  <c r="I118" i="87" s="1"/>
  <c r="I202" i="87" a="1"/>
  <c r="I202" i="87" s="1"/>
  <c r="G116" i="87" a="1"/>
  <c r="G116" i="87" s="1"/>
  <c r="G200" i="87" a="1"/>
  <c r="G200" i="87" s="1"/>
  <c r="G153" i="87" a="1"/>
  <c r="G153" i="87" s="1"/>
  <c r="G118" i="87" a="1"/>
  <c r="G118" i="87" s="1"/>
  <c r="G155" i="87" a="1"/>
  <c r="G155" i="87" s="1"/>
  <c r="G202" i="87" a="1"/>
  <c r="G202" i="87" s="1"/>
  <c r="I190" i="87" a="1"/>
  <c r="I190" i="87" s="1"/>
  <c r="I143" i="87" a="1"/>
  <c r="I143" i="87" s="1"/>
  <c r="I106" i="87" a="1"/>
  <c r="I106" i="87" s="1"/>
  <c r="H119" i="87" a="1"/>
  <c r="H119" i="87" s="1"/>
  <c r="H203" i="87" a="1"/>
  <c r="H203" i="87" s="1"/>
  <c r="H156" i="87" a="1"/>
  <c r="H156" i="87" s="1"/>
  <c r="F143" i="87" a="1"/>
  <c r="F143" i="87" s="1"/>
  <c r="F106" i="87" a="1"/>
  <c r="F106" i="87" s="1"/>
  <c r="F190" i="87" a="1"/>
  <c r="F190" i="87" s="1"/>
  <c r="I146" i="87" a="1"/>
  <c r="I146" i="87" s="1"/>
  <c r="I193" i="87" a="1"/>
  <c r="I193" i="87" s="1"/>
  <c r="I109" i="87" a="1"/>
  <c r="I109" i="87" s="1"/>
  <c r="G197" i="87" a="1"/>
  <c r="G197" i="87" s="1"/>
  <c r="G150" i="87" a="1"/>
  <c r="G150" i="87" s="1"/>
  <c r="G113" i="87" a="1"/>
  <c r="G113" i="87" s="1"/>
  <c r="G198" i="87" a="1"/>
  <c r="G198" i="87" s="1"/>
  <c r="G114" i="87" a="1"/>
  <c r="G114" i="87" s="1"/>
  <c r="G151" i="87" a="1"/>
  <c r="G151" i="87" s="1"/>
  <c r="E77" i="85"/>
  <c r="I89" i="85" s="1"/>
  <c r="F193" i="87" a="1"/>
  <c r="F193" i="87" s="1"/>
  <c r="F109" i="87" a="1"/>
  <c r="F109" i="87" s="1"/>
  <c r="F146" i="87" a="1"/>
  <c r="F146" i="87" s="1"/>
  <c r="I154" i="87" a="1"/>
  <c r="I154" i="87" s="1"/>
  <c r="I201" i="87" a="1"/>
  <c r="I201" i="87" s="1"/>
  <c r="I117" i="87" a="1"/>
  <c r="I117" i="87" s="1"/>
  <c r="I149" i="87" a="1"/>
  <c r="I149" i="87" s="1"/>
  <c r="I112" i="87" a="1"/>
  <c r="I112" i="87" s="1"/>
  <c r="I196" i="87" a="1"/>
  <c r="I196" i="87" s="1"/>
  <c r="G149" i="87" a="1"/>
  <c r="G149" i="87" s="1"/>
  <c r="G196" i="87" a="1"/>
  <c r="G196" i="87" s="1"/>
  <c r="G112" i="87" a="1"/>
  <c r="G112" i="87" s="1"/>
  <c r="I197" i="87" a="1"/>
  <c r="I197" i="87" s="1"/>
  <c r="I150" i="87" a="1"/>
  <c r="I150" i="87" s="1"/>
  <c r="I113" i="87" a="1"/>
  <c r="I113" i="87" s="1"/>
  <c r="H193" i="87" a="1"/>
  <c r="H193" i="87" s="1"/>
  <c r="H109" i="87" a="1"/>
  <c r="H109" i="87" s="1"/>
  <c r="H146" i="87" a="1"/>
  <c r="H146" i="87" s="1"/>
  <c r="G119" i="87" a="1"/>
  <c r="G119" i="87" s="1"/>
  <c r="G156" i="87" a="1"/>
  <c r="G156" i="87" s="1"/>
  <c r="G203" i="87" a="1"/>
  <c r="G203" i="87" s="1"/>
  <c r="I145" i="87" a="1"/>
  <c r="I145" i="87" s="1"/>
  <c r="I192" i="87" a="1"/>
  <c r="I192" i="87" s="1"/>
  <c r="I108" i="87" a="1"/>
  <c r="I108" i="87" s="1"/>
  <c r="F108" i="87" a="1"/>
  <c r="F108" i="87" s="1"/>
  <c r="F145" i="87" a="1"/>
  <c r="F145" i="87" s="1"/>
  <c r="F192" i="87" a="1"/>
  <c r="F192" i="87" s="1"/>
  <c r="F202" i="87" a="1"/>
  <c r="F202" i="87" s="1"/>
  <c r="F155" i="87" a="1"/>
  <c r="F155" i="87" s="1"/>
  <c r="F118" i="87" a="1"/>
  <c r="F118" i="87" s="1"/>
  <c r="H112" i="87" a="1"/>
  <c r="H112" i="87" s="1"/>
  <c r="H149" i="87" a="1"/>
  <c r="H149" i="87" s="1"/>
  <c r="H196" i="87" a="1"/>
  <c r="H196" i="87" s="1"/>
  <c r="G148" i="87" a="1"/>
  <c r="G148" i="87" s="1"/>
  <c r="G195" i="87" a="1"/>
  <c r="G195" i="87" s="1"/>
  <c r="G111" i="87" a="1"/>
  <c r="G111" i="87" s="1"/>
  <c r="I151" i="87" a="1"/>
  <c r="I151" i="87" s="1"/>
  <c r="I114" i="87" a="1"/>
  <c r="I114" i="87" s="1"/>
  <c r="I198" i="87" a="1"/>
  <c r="I198" i="87" s="1"/>
  <c r="G109" i="87" a="1"/>
  <c r="G109" i="87" s="1"/>
  <c r="G146" i="87" a="1"/>
  <c r="G146" i="87" s="1"/>
  <c r="G193" i="87" a="1"/>
  <c r="G193" i="87" s="1"/>
  <c r="I200" i="87" a="1"/>
  <c r="I200" i="87" s="1"/>
  <c r="I153" i="87" a="1"/>
  <c r="I153" i="87" s="1"/>
  <c r="I116" i="87" a="1"/>
  <c r="I116" i="87" s="1"/>
  <c r="G190" i="87" a="1"/>
  <c r="G190" i="87" s="1"/>
  <c r="G143" i="87" a="1"/>
  <c r="G143" i="87" s="1"/>
  <c r="G106" i="87" a="1"/>
  <c r="G106" i="87" s="1"/>
  <c r="H155" i="87" a="1"/>
  <c r="H155" i="87" s="1"/>
  <c r="H202" i="87" a="1"/>
  <c r="H202" i="87" s="1"/>
  <c r="H118" i="87" a="1"/>
  <c r="H118" i="87" s="1"/>
  <c r="H198" i="87" a="1"/>
  <c r="H198" i="87" s="1"/>
  <c r="H151" i="87" a="1"/>
  <c r="H151" i="87" s="1"/>
  <c r="H114" i="87" a="1"/>
  <c r="H114" i="87" s="1"/>
  <c r="H117" i="87" a="1"/>
  <c r="H117" i="87" s="1"/>
  <c r="H154" i="87" a="1"/>
  <c r="H154" i="87" s="1"/>
  <c r="H201" i="87" a="1"/>
  <c r="H201" i="87" s="1"/>
  <c r="H150" i="87" a="1"/>
  <c r="H150" i="87" s="1"/>
  <c r="H113" i="87" a="1"/>
  <c r="H113" i="87" s="1"/>
  <c r="H197" i="87" a="1"/>
  <c r="H197" i="87" s="1"/>
  <c r="G145" i="87" a="1"/>
  <c r="G145" i="87" s="1"/>
  <c r="G192" i="87" a="1"/>
  <c r="G192" i="87" s="1"/>
  <c r="G108" i="87" a="1"/>
  <c r="G108" i="87" s="1"/>
  <c r="H153" i="87" a="1"/>
  <c r="H153" i="87" s="1"/>
  <c r="H200" i="87" a="1"/>
  <c r="H200" i="87" s="1"/>
  <c r="H116" i="87" a="1"/>
  <c r="H116" i="87" s="1"/>
  <c r="I119" i="87" a="1"/>
  <c r="I119" i="87" s="1"/>
  <c r="I203" i="87" a="1"/>
  <c r="I203" i="87" s="1"/>
  <c r="I156" i="87" a="1"/>
  <c r="I156" i="87" s="1"/>
  <c r="F144" i="87" a="1"/>
  <c r="F144" i="87" s="1"/>
  <c r="F107" i="87" a="1"/>
  <c r="F107" i="87" s="1"/>
  <c r="F191" i="87" a="1"/>
  <c r="F191" i="87" s="1"/>
  <c r="G117" i="87" a="1"/>
  <c r="G117" i="87" s="1"/>
  <c r="G154" i="87" a="1"/>
  <c r="G154" i="87" s="1"/>
  <c r="G201" i="87" a="1"/>
  <c r="G201" i="87" s="1"/>
  <c r="G191" i="87" a="1"/>
  <c r="G191" i="87" s="1"/>
  <c r="G144" i="87" a="1"/>
  <c r="G144" i="87" s="1"/>
  <c r="G107" i="87" a="1"/>
  <c r="G107" i="87" s="1"/>
  <c r="F116" i="87" a="1"/>
  <c r="F116" i="87" s="1"/>
  <c r="F153" i="87" a="1"/>
  <c r="F153" i="87" s="1"/>
  <c r="F200" i="87" a="1"/>
  <c r="F200" i="87" s="1"/>
  <c r="F117" i="87" a="1"/>
  <c r="F117" i="87" s="1"/>
  <c r="F154" i="87" a="1"/>
  <c r="F154" i="87" s="1"/>
  <c r="F201" i="87" a="1"/>
  <c r="F201" i="87" s="1"/>
  <c r="H191" i="87" a="1"/>
  <c r="H191" i="87" s="1"/>
  <c r="H144" i="87" a="1"/>
  <c r="H144" i="87" s="1"/>
  <c r="H107" i="87" a="1"/>
  <c r="H107" i="87" s="1"/>
  <c r="E76" i="72"/>
  <c r="F76" i="72"/>
  <c r="D75" i="72"/>
  <c r="F42" i="13"/>
  <c r="I42" i="13" s="1"/>
  <c r="H42" i="13"/>
  <c r="F44" i="13"/>
  <c r="I44" i="13" s="1"/>
  <c r="H44" i="13"/>
  <c r="F43" i="13"/>
  <c r="I43" i="13" s="1"/>
  <c r="H43" i="13"/>
  <c r="H47" i="13" l="1"/>
  <c r="I47" i="13"/>
  <c r="D43" i="13" a="1"/>
  <c r="D43" i="13" s="1"/>
  <c r="E29" i="13" a="1"/>
  <c r="E29" i="13" s="1"/>
  <c r="F29" i="13" s="1"/>
  <c r="I29" i="13" s="1"/>
  <c r="I30" i="13" s="1"/>
  <c r="D29" i="13" a="1"/>
  <c r="D29" i="13" s="1"/>
  <c r="E68" i="72"/>
  <c r="E67" i="72"/>
  <c r="D64" i="72" a="1"/>
  <c r="D64" i="72" s="1"/>
  <c r="E64" i="72" s="1"/>
  <c r="D61" i="72"/>
  <c r="D51" i="72" a="1"/>
  <c r="D47" i="72" a="1"/>
  <c r="D47" i="72" s="1"/>
  <c r="D45" i="72"/>
  <c r="G39" i="72"/>
  <c r="E52" i="13" s="1"/>
  <c r="J59" i="78"/>
  <c r="J57" i="78"/>
  <c r="J56" i="78"/>
  <c r="J55" i="78"/>
  <c r="J48" i="78"/>
  <c r="J47" i="78"/>
  <c r="J46" i="78"/>
  <c r="J45" i="78"/>
  <c r="J36" i="78"/>
  <c r="J34" i="78"/>
  <c r="J33" i="78"/>
  <c r="J31" i="78"/>
  <c r="J25" i="78"/>
  <c r="J24" i="78"/>
  <c r="J23" i="78"/>
  <c r="J22" i="78"/>
  <c r="J21" i="78"/>
  <c r="J20" i="78"/>
  <c r="J14" i="78"/>
  <c r="J12" i="78"/>
  <c r="J11" i="78"/>
  <c r="J10" i="78"/>
  <c r="J8" i="78"/>
  <c r="D59" i="78"/>
  <c r="D57" i="78"/>
  <c r="D56" i="78"/>
  <c r="D55" i="78"/>
  <c r="D48" i="78"/>
  <c r="D47" i="78"/>
  <c r="D46" i="78"/>
  <c r="D45" i="78"/>
  <c r="D25" i="78"/>
  <c r="D24" i="78"/>
  <c r="D23" i="78"/>
  <c r="D22" i="78"/>
  <c r="D21" i="78"/>
  <c r="D2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G46" i="91"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G83" i="101" l="1"/>
  <c r="G97" i="106"/>
  <c r="Q50" i="90"/>
  <c r="Q248" i="84"/>
  <c r="G82" i="105"/>
  <c r="G149" i="105"/>
  <c r="O591" i="116"/>
  <c r="Q30" i="88"/>
  <c r="G591" i="116"/>
  <c r="G30" i="88"/>
  <c r="P113" i="101"/>
  <c r="G53" i="103"/>
  <c r="Q62" i="86"/>
  <c r="G62" i="86"/>
  <c r="Q99" i="85"/>
  <c r="G50" i="90"/>
  <c r="G99" i="85"/>
  <c r="G248" i="84"/>
  <c r="P48" i="89"/>
  <c r="G48" i="89"/>
  <c r="Q225" i="83"/>
  <c r="G225" i="83"/>
  <c r="I54" i="83"/>
  <c r="S134" i="83"/>
  <c r="I134" i="83"/>
  <c r="S54" i="83"/>
  <c r="O73" i="83" s="1"/>
  <c r="I56" i="106"/>
  <c r="I68" i="117"/>
  <c r="I14" i="86"/>
  <c r="I14" i="106"/>
  <c r="I14" i="90"/>
  <c r="J51" i="105"/>
  <c r="I126" i="105"/>
  <c r="S94" i="101"/>
  <c r="N110" i="101" s="1" a="1"/>
  <c r="N110" i="101" s="1"/>
  <c r="P112" i="101" s="1"/>
  <c r="E77" i="83"/>
  <c r="E81" i="83"/>
  <c r="E74" i="83"/>
  <c r="E73" i="83"/>
  <c r="E78" i="83"/>
  <c r="E75" i="83"/>
  <c r="E80" i="83"/>
  <c r="E79" i="83"/>
  <c r="E76" i="83"/>
  <c r="D170" i="79"/>
  <c r="I49" i="86"/>
  <c r="J44" i="90"/>
  <c r="G45" i="91"/>
  <c r="I90" i="85"/>
  <c r="I125" i="105"/>
  <c r="I39" i="89"/>
  <c r="I49" i="117"/>
  <c r="J50" i="105"/>
  <c r="O108" i="101" a="1"/>
  <c r="O108" i="101" s="1"/>
  <c r="I50" i="101"/>
  <c r="O79" i="83"/>
  <c r="O81" i="83"/>
  <c r="O76" i="83"/>
  <c r="O77" i="83"/>
  <c r="O80" i="83"/>
  <c r="H21" i="13" a="1"/>
  <c r="H21" i="13" s="1"/>
  <c r="H20" i="13" a="1"/>
  <c r="H20" i="13" s="1"/>
  <c r="I21" i="13" a="1"/>
  <c r="I21" i="13" s="1"/>
  <c r="I20" i="13" a="1"/>
  <c r="I20" i="13" s="1"/>
  <c r="H17" i="13" a="1"/>
  <c r="H17" i="13" s="1"/>
  <c r="I17" i="13" a="1"/>
  <c r="I17" i="13" s="1"/>
  <c r="I18" i="13" a="1"/>
  <c r="I18" i="13" s="1"/>
  <c r="H18" i="13" a="1"/>
  <c r="H18" i="13" s="1"/>
  <c r="E52" i="72"/>
  <c r="F52" i="72"/>
  <c r="H29" i="13"/>
  <c r="H30" i="13" s="1"/>
  <c r="J50" i="78"/>
  <c r="J61" i="78"/>
  <c r="J40" i="78"/>
  <c r="J16" i="78"/>
  <c r="J27" i="78"/>
  <c r="D51" i="72"/>
  <c r="E65" i="72"/>
  <c r="E66" i="72"/>
  <c r="H48" i="79"/>
  <c r="I51" i="102" s="1"/>
  <c r="E22" i="75"/>
  <c r="H51" i="79"/>
  <c r="E19" i="75"/>
  <c r="H53" i="79"/>
  <c r="H50" i="79"/>
  <c r="I91" i="85" s="1"/>
  <c r="H54" i="79"/>
  <c r="H52" i="79"/>
  <c r="H49" i="79"/>
  <c r="E60" i="102" l="1" a="1"/>
  <c r="E60" i="102" s="1"/>
  <c r="E61" i="102" a="1"/>
  <c r="E61" i="102" s="1"/>
  <c r="E64" i="102" a="1"/>
  <c r="E64" i="102" s="1"/>
  <c r="E71" i="102" a="1"/>
  <c r="E71" i="102" s="1"/>
  <c r="E63" i="102" a="1"/>
  <c r="E63" i="102" s="1"/>
  <c r="E65" i="102" a="1"/>
  <c r="E65" i="102" s="1"/>
  <c r="E66" i="102" a="1"/>
  <c r="E66" i="102" s="1"/>
  <c r="E70" i="102" a="1"/>
  <c r="E70" i="102" s="1"/>
  <c r="E72" i="102" a="1"/>
  <c r="E72" i="102" s="1"/>
  <c r="E74" i="102" a="1"/>
  <c r="E74" i="102" s="1"/>
  <c r="E69" i="102" a="1"/>
  <c r="E69" i="102" s="1"/>
  <c r="E59" i="102" a="1"/>
  <c r="E59" i="102" s="1"/>
  <c r="E62" i="102" a="1"/>
  <c r="E62" i="102" s="1"/>
  <c r="E68" i="102" a="1"/>
  <c r="E68" i="102" s="1"/>
  <c r="E75" i="102" a="1"/>
  <c r="E75" i="102" s="1"/>
  <c r="E67" i="102" a="1"/>
  <c r="E67" i="102" s="1"/>
  <c r="E76" i="102" a="1"/>
  <c r="E76" i="102" s="1"/>
  <c r="E73" i="102" a="1"/>
  <c r="E73" i="102" s="1"/>
  <c r="E58" i="102" a="1"/>
  <c r="E58" i="102" s="1"/>
  <c r="F171" i="83" a="1"/>
  <c r="F171" i="83" s="1"/>
  <c r="F218" i="83" s="1" a="1"/>
  <c r="F218" i="83" s="1"/>
  <c r="I166" i="83" a="1"/>
  <c r="I166" i="83" s="1"/>
  <c r="I213" i="83" s="1" a="1"/>
  <c r="I213" i="83" s="1"/>
  <c r="H161" i="83" a="1"/>
  <c r="H161" i="83" s="1"/>
  <c r="H208" i="83" s="1" a="1"/>
  <c r="H208" i="83" s="1"/>
  <c r="H166" i="83" a="1"/>
  <c r="H166" i="83" s="1"/>
  <c r="H213" i="83" s="1" a="1"/>
  <c r="H213" i="83" s="1"/>
  <c r="I171" i="83" a="1"/>
  <c r="I171" i="83" s="1"/>
  <c r="I218" i="83" s="1" a="1"/>
  <c r="I218" i="83" s="1"/>
  <c r="F166" i="83" a="1"/>
  <c r="F166" i="83" s="1"/>
  <c r="F213" i="83" s="1" a="1"/>
  <c r="F213" i="83" s="1"/>
  <c r="G161" i="83" a="1"/>
  <c r="G161" i="83" s="1"/>
  <c r="G208" i="83" s="1" a="1"/>
  <c r="G208" i="83" s="1"/>
  <c r="I161" i="83" a="1"/>
  <c r="I161" i="83" s="1"/>
  <c r="I208" i="83" s="1" a="1"/>
  <c r="I208" i="83" s="1"/>
  <c r="G166" i="83" a="1"/>
  <c r="G166" i="83" s="1"/>
  <c r="G213" i="83" s="1" a="1"/>
  <c r="G213" i="83" s="1"/>
  <c r="G171" i="83" a="1"/>
  <c r="G171" i="83" s="1"/>
  <c r="G218" i="83" s="1" a="1"/>
  <c r="G218" i="83" s="1"/>
  <c r="H171" i="83" a="1"/>
  <c r="H171" i="83" s="1"/>
  <c r="H218" i="83" s="1" a="1"/>
  <c r="H218" i="83" s="1"/>
  <c r="F161" i="83" a="1"/>
  <c r="F161" i="83" s="1"/>
  <c r="F208" i="83" s="1" a="1"/>
  <c r="F208" i="83" s="1"/>
  <c r="J45" i="90"/>
  <c r="O74" i="117" a="1"/>
  <c r="O74" i="117" s="1"/>
  <c r="T86" i="117" s="1"/>
  <c r="E74" i="117" a="1"/>
  <c r="E74" i="117" s="1"/>
  <c r="J86" i="117" s="1"/>
  <c r="E90" i="117" s="1" a="1"/>
  <c r="E90" i="117" s="1"/>
  <c r="I168" i="83" a="1"/>
  <c r="I168" i="83" s="1"/>
  <c r="I215" i="83" s="1" a="1"/>
  <c r="I215" i="83" s="1"/>
  <c r="F172" i="83" a="1"/>
  <c r="F172" i="83" s="1"/>
  <c r="F219" i="83" s="1" a="1"/>
  <c r="F219" i="83" s="1"/>
  <c r="I167" i="83" a="1"/>
  <c r="I167" i="83" s="1"/>
  <c r="I214" i="83" s="1" a="1"/>
  <c r="I214" i="83" s="1"/>
  <c r="H167" i="83" a="1"/>
  <c r="H167" i="83" s="1"/>
  <c r="H214" i="83" s="1" a="1"/>
  <c r="H214" i="83" s="1"/>
  <c r="H172" i="83" a="1"/>
  <c r="H172" i="83" s="1"/>
  <c r="H219" i="83" s="1" a="1"/>
  <c r="H219" i="83" s="1"/>
  <c r="I162" i="83" a="1"/>
  <c r="I162" i="83" s="1"/>
  <c r="I209" i="83" s="1" a="1"/>
  <c r="I209" i="83" s="1"/>
  <c r="G167" i="83" a="1"/>
  <c r="G167" i="83" s="1"/>
  <c r="G214" i="83" s="1" a="1"/>
  <c r="G214" i="83" s="1"/>
  <c r="H162" i="83" a="1"/>
  <c r="H162" i="83" s="1"/>
  <c r="H209" i="83" s="1" a="1"/>
  <c r="H209" i="83" s="1"/>
  <c r="F167" i="83" a="1"/>
  <c r="F167" i="83" s="1"/>
  <c r="F214" i="83" s="1" a="1"/>
  <c r="F214" i="83" s="1"/>
  <c r="G168" i="83" a="1"/>
  <c r="G168" i="83" s="1"/>
  <c r="G215" i="83" s="1" a="1"/>
  <c r="G215" i="83" s="1"/>
  <c r="F168" i="83" a="1"/>
  <c r="F168" i="83" s="1"/>
  <c r="F215" i="83" s="1" a="1"/>
  <c r="F215" i="83" s="1"/>
  <c r="G162" i="83" a="1"/>
  <c r="G162" i="83" s="1"/>
  <c r="G209" i="83" s="1" a="1"/>
  <c r="G209" i="83" s="1"/>
  <c r="H168" i="83" a="1"/>
  <c r="H168" i="83" s="1"/>
  <c r="H215" i="83" s="1" a="1"/>
  <c r="H215" i="83" s="1"/>
  <c r="F162" i="83" a="1"/>
  <c r="F162" i="83" s="1"/>
  <c r="F209" i="83" s="1" a="1"/>
  <c r="F209" i="83" s="1"/>
  <c r="G172" i="83" a="1"/>
  <c r="G172" i="83" s="1"/>
  <c r="G219" i="83" s="1" a="1"/>
  <c r="G219" i="83" s="1"/>
  <c r="I172" i="83" a="1"/>
  <c r="I172" i="83" s="1"/>
  <c r="I219" i="83" s="1" a="1"/>
  <c r="I219" i="83" s="1"/>
  <c r="I50" i="86"/>
  <c r="F75" i="106" a="1"/>
  <c r="F75" i="106" s="1"/>
  <c r="F69" i="106" a="1"/>
  <c r="F69" i="106" s="1"/>
  <c r="F72" i="106" a="1"/>
  <c r="F72" i="106" s="1"/>
  <c r="F73" i="106" a="1"/>
  <c r="F73" i="106" s="1"/>
  <c r="F67" i="106" a="1"/>
  <c r="F67" i="106" s="1"/>
  <c r="F68" i="106" a="1"/>
  <c r="F68" i="106" s="1"/>
  <c r="F70" i="106" a="1"/>
  <c r="F70" i="106" s="1"/>
  <c r="F71" i="106" a="1"/>
  <c r="F71" i="106" s="1"/>
  <c r="F65" i="106" a="1"/>
  <c r="F65" i="106" s="1"/>
  <c r="F74" i="106" a="1"/>
  <c r="F74" i="106" s="1"/>
  <c r="F66" i="106" a="1"/>
  <c r="F66" i="106" s="1"/>
  <c r="H88" i="83" a="1"/>
  <c r="H88" i="83" s="1"/>
  <c r="I204" i="83" s="1" a="1"/>
  <c r="I204" i="83" s="1"/>
  <c r="P88" i="83" a="1"/>
  <c r="P88" i="83" s="1"/>
  <c r="Q204" i="83" s="1" a="1"/>
  <c r="Q204" i="83" s="1"/>
  <c r="F88" i="83" a="1"/>
  <c r="F88" i="83" s="1"/>
  <c r="G204" i="83" s="1" a="1"/>
  <c r="G204" i="83" s="1"/>
  <c r="G88" i="83" a="1"/>
  <c r="G88" i="83" s="1"/>
  <c r="H204" i="83" s="1" a="1"/>
  <c r="H204" i="83" s="1"/>
  <c r="R88" i="83" a="1"/>
  <c r="R88" i="83" s="1"/>
  <c r="S204" i="83" s="1" a="1"/>
  <c r="S204" i="83" s="1"/>
  <c r="O88" i="83" a="1"/>
  <c r="O88" i="83" s="1"/>
  <c r="P204" i="83" s="1" a="1"/>
  <c r="P204" i="83" s="1"/>
  <c r="E88" i="83" a="1"/>
  <c r="E88" i="83" s="1"/>
  <c r="F204" i="83" s="1" a="1"/>
  <c r="F204" i="83" s="1"/>
  <c r="Q88" i="83" a="1"/>
  <c r="Q88" i="83" s="1"/>
  <c r="R204" i="83" s="1" a="1"/>
  <c r="R204" i="83" s="1"/>
  <c r="I20" i="104"/>
  <c r="F173" i="83" a="1"/>
  <c r="F173" i="83" s="1"/>
  <c r="F220" i="83" s="1" a="1"/>
  <c r="F220" i="83" s="1"/>
  <c r="G173" i="83" a="1"/>
  <c r="G173" i="83" s="1"/>
  <c r="G220" i="83" s="1" a="1"/>
  <c r="G220" i="83" s="1"/>
  <c r="H173" i="83" a="1"/>
  <c r="H173" i="83" s="1"/>
  <c r="H220" i="83" s="1" a="1"/>
  <c r="H220" i="83" s="1"/>
  <c r="H163" i="83" a="1"/>
  <c r="H163" i="83" s="1"/>
  <c r="H210" i="83" s="1" a="1"/>
  <c r="H210" i="83" s="1"/>
  <c r="I173" i="83" a="1"/>
  <c r="I173" i="83" s="1"/>
  <c r="I220" i="83" s="1" a="1"/>
  <c r="I220" i="83" s="1"/>
  <c r="I163" i="83" a="1"/>
  <c r="I163" i="83" s="1"/>
  <c r="I210" i="83" s="1" a="1"/>
  <c r="I210" i="83" s="1"/>
  <c r="F163" i="83" a="1"/>
  <c r="F163" i="83" s="1"/>
  <c r="F210" i="83" s="1" a="1"/>
  <c r="F210" i="83" s="1"/>
  <c r="G163" i="83" a="1"/>
  <c r="G163" i="83" s="1"/>
  <c r="G210" i="83" s="1" a="1"/>
  <c r="G210" i="83" s="1"/>
  <c r="I51" i="101"/>
  <c r="E74" i="101" s="1" a="1"/>
  <c r="E74" i="101" s="1"/>
  <c r="F170" i="83" a="1"/>
  <c r="F170" i="83" s="1"/>
  <c r="F217" i="83" s="1" a="1"/>
  <c r="F217" i="83" s="1"/>
  <c r="I165" i="83" a="1"/>
  <c r="I165" i="83" s="1"/>
  <c r="I212" i="83" s="1" a="1"/>
  <c r="I212" i="83" s="1"/>
  <c r="H160" i="83" a="1"/>
  <c r="H160" i="83" s="1"/>
  <c r="H207" i="83" s="1" a="1"/>
  <c r="H207" i="83" s="1"/>
  <c r="F160" i="83" a="1"/>
  <c r="F160" i="83" s="1"/>
  <c r="F207" i="83" s="1" a="1"/>
  <c r="F207" i="83" s="1"/>
  <c r="H170" i="83" a="1"/>
  <c r="H170" i="83" s="1"/>
  <c r="H217" i="83" s="1" a="1"/>
  <c r="H217" i="83" s="1"/>
  <c r="H165" i="83" a="1"/>
  <c r="H165" i="83" s="1"/>
  <c r="H212" i="83" s="1" a="1"/>
  <c r="H212" i="83" s="1"/>
  <c r="I170" i="83" a="1"/>
  <c r="I170" i="83" s="1"/>
  <c r="I217" i="83" s="1" a="1"/>
  <c r="I217" i="83" s="1"/>
  <c r="G165" i="83" a="1"/>
  <c r="G165" i="83" s="1"/>
  <c r="G212" i="83" s="1" a="1"/>
  <c r="G212" i="83" s="1"/>
  <c r="G160" i="83" a="1"/>
  <c r="G160" i="83" s="1"/>
  <c r="G207" i="83" s="1" a="1"/>
  <c r="G207" i="83" s="1"/>
  <c r="I160" i="83" a="1"/>
  <c r="I160" i="83" s="1"/>
  <c r="I207" i="83" s="1" a="1"/>
  <c r="I207" i="83" s="1"/>
  <c r="G170" i="83" a="1"/>
  <c r="G170" i="83" s="1"/>
  <c r="G217" i="83" s="1" a="1"/>
  <c r="G217" i="83" s="1"/>
  <c r="F165" i="83" a="1"/>
  <c r="F165" i="83" s="1"/>
  <c r="F212" i="83" s="1" a="1"/>
  <c r="F212" i="83" s="1"/>
  <c r="H87" i="83" a="1"/>
  <c r="H87" i="83" s="1"/>
  <c r="I203" i="83" s="1" a="1"/>
  <c r="I203" i="83" s="1"/>
  <c r="O87" i="83" a="1"/>
  <c r="O87" i="83" s="1"/>
  <c r="P203" i="83" s="1" a="1"/>
  <c r="P203" i="83" s="1"/>
  <c r="F87" i="83" a="1"/>
  <c r="F87" i="83" s="1"/>
  <c r="G203" i="83" s="1" a="1"/>
  <c r="G203" i="83" s="1"/>
  <c r="Q87" i="83" a="1"/>
  <c r="Q87" i="83" s="1"/>
  <c r="R203" i="83" s="1" a="1"/>
  <c r="R203" i="83" s="1"/>
  <c r="E87" i="83" a="1"/>
  <c r="E87" i="83" s="1"/>
  <c r="F203" i="83" s="1" a="1"/>
  <c r="F203" i="83" s="1"/>
  <c r="G87" i="83" a="1"/>
  <c r="G87" i="83" s="1"/>
  <c r="H203" i="83" s="1" a="1"/>
  <c r="H203" i="83" s="1"/>
  <c r="P87" i="83" a="1"/>
  <c r="P87" i="83" s="1"/>
  <c r="Q203" i="83" s="1" a="1"/>
  <c r="Q203" i="83" s="1"/>
  <c r="R87" i="83" a="1"/>
  <c r="R87" i="83" s="1"/>
  <c r="S203" i="83" s="1" a="1"/>
  <c r="S203" i="83" s="1"/>
  <c r="J88" i="117"/>
  <c r="J15" i="117"/>
  <c r="H86" i="83" a="1"/>
  <c r="H86" i="83" s="1"/>
  <c r="I202" i="83" s="1" a="1"/>
  <c r="I202" i="83" s="1"/>
  <c r="G86" i="83" a="1"/>
  <c r="G86" i="83" s="1"/>
  <c r="H202" i="83" s="1" a="1"/>
  <c r="H202" i="83" s="1"/>
  <c r="E86" i="83" a="1"/>
  <c r="E86" i="83" s="1"/>
  <c r="F202" i="83" s="1" a="1"/>
  <c r="F202" i="83" s="1"/>
  <c r="F86" i="83" a="1"/>
  <c r="F86" i="83" s="1"/>
  <c r="G202" i="83" s="1" a="1"/>
  <c r="G202" i="83" s="1"/>
  <c r="J92" i="106"/>
  <c r="O78" i="83"/>
  <c r="S170" i="83" s="1" a="1"/>
  <c r="S170" i="83" s="1"/>
  <c r="S217" i="83" s="1" a="1"/>
  <c r="S217" i="83" s="1"/>
  <c r="I15" i="88"/>
  <c r="I50" i="117"/>
  <c r="E55" i="117" s="1" a="1"/>
  <c r="E55" i="117" s="1"/>
  <c r="F169" i="83" a="1"/>
  <c r="F169" i="83" s="1"/>
  <c r="F216" i="83" s="1" a="1"/>
  <c r="F216" i="83" s="1"/>
  <c r="I164" i="83" a="1"/>
  <c r="I164" i="83" s="1"/>
  <c r="I211" i="83" s="1" a="1"/>
  <c r="I211" i="83" s="1"/>
  <c r="F164" i="83" a="1"/>
  <c r="F164" i="83" s="1"/>
  <c r="F211" i="83" s="1" a="1"/>
  <c r="F211" i="83" s="1"/>
  <c r="H169" i="83" a="1"/>
  <c r="H169" i="83" s="1"/>
  <c r="H216" i="83" s="1" a="1"/>
  <c r="H216" i="83" s="1"/>
  <c r="G164" i="83" a="1"/>
  <c r="G164" i="83" s="1"/>
  <c r="G211" i="83" s="1" a="1"/>
  <c r="G211" i="83" s="1"/>
  <c r="G169" i="83" a="1"/>
  <c r="G169" i="83" s="1"/>
  <c r="G216" i="83" s="1" a="1"/>
  <c r="G216" i="83" s="1"/>
  <c r="H159" i="83" a="1"/>
  <c r="H159" i="83" s="1"/>
  <c r="H206" i="83" s="1" a="1"/>
  <c r="H206" i="83" s="1"/>
  <c r="I169" i="83" a="1"/>
  <c r="I169" i="83" s="1"/>
  <c r="I216" i="83" s="1" a="1"/>
  <c r="I216" i="83" s="1"/>
  <c r="G159" i="83" a="1"/>
  <c r="G159" i="83" s="1"/>
  <c r="G206" i="83" s="1" a="1"/>
  <c r="G206" i="83" s="1"/>
  <c r="H164" i="83" a="1"/>
  <c r="H164" i="83" s="1"/>
  <c r="H211" i="83" s="1" a="1"/>
  <c r="H211" i="83" s="1"/>
  <c r="I159" i="83" a="1"/>
  <c r="I159" i="83" s="1"/>
  <c r="I206" i="83" s="1" a="1"/>
  <c r="I206" i="83" s="1"/>
  <c r="F159" i="83" a="1"/>
  <c r="F159" i="83" s="1"/>
  <c r="F206" i="83" s="1" a="1"/>
  <c r="F206" i="83" s="1"/>
  <c r="S99" i="101"/>
  <c r="N106" i="101" s="1"/>
  <c r="N108" i="101" s="1"/>
  <c r="J54" i="105"/>
  <c r="I53" i="117"/>
  <c r="I94" i="85"/>
  <c r="I129" i="105"/>
  <c r="I55" i="101"/>
  <c r="I43" i="89"/>
  <c r="I40" i="89"/>
  <c r="K46" i="103"/>
  <c r="O28" i="90" a="1"/>
  <c r="O28" i="90" s="1"/>
  <c r="F28" i="90" a="1"/>
  <c r="F28" i="90" s="1"/>
  <c r="G28" i="90" a="1"/>
  <c r="G28" i="90" s="1"/>
  <c r="P28" i="90" a="1"/>
  <c r="P28" i="90" s="1"/>
  <c r="H28" i="90" a="1"/>
  <c r="H28" i="90" s="1"/>
  <c r="E28" i="90" a="1"/>
  <c r="E28" i="90" s="1"/>
  <c r="E30" i="90" s="1"/>
  <c r="J43" i="90" s="1"/>
  <c r="E47" i="90" s="1" a="1"/>
  <c r="E47" i="90" s="1"/>
  <c r="R28" i="90" a="1"/>
  <c r="R28" i="90" s="1"/>
  <c r="Q28" i="90" a="1"/>
  <c r="Q28" i="90" s="1"/>
  <c r="I217" i="84"/>
  <c r="F25" i="106" a="1"/>
  <c r="F25" i="106" s="1"/>
  <c r="F36" i="106" a="1"/>
  <c r="F36" i="106" s="1"/>
  <c r="F32" i="106" a="1"/>
  <c r="F32" i="106" s="1"/>
  <c r="F26" i="106" a="1"/>
  <c r="F26" i="106" s="1"/>
  <c r="F29" i="106" a="1"/>
  <c r="F29" i="106" s="1"/>
  <c r="F27" i="106" a="1"/>
  <c r="F27" i="106" s="1"/>
  <c r="F35" i="106" a="1"/>
  <c r="F35" i="106" s="1"/>
  <c r="F31" i="106" a="1"/>
  <c r="F31" i="106" s="1"/>
  <c r="F38" i="106" a="1"/>
  <c r="F38" i="106" s="1"/>
  <c r="F41" i="106" a="1"/>
  <c r="F41" i="106" s="1"/>
  <c r="F40" i="106" a="1"/>
  <c r="F40" i="106" s="1"/>
  <c r="F30" i="106" a="1"/>
  <c r="F30" i="106" s="1"/>
  <c r="F28" i="106" a="1"/>
  <c r="F28" i="106" s="1"/>
  <c r="F34" i="106" a="1"/>
  <c r="F34" i="106" s="1"/>
  <c r="F24" i="106" a="1"/>
  <c r="F24" i="106" s="1"/>
  <c r="F33" i="106" a="1"/>
  <c r="F33" i="106" s="1"/>
  <c r="F37" i="106" a="1"/>
  <c r="F37" i="106" s="1"/>
  <c r="F39" i="106" a="1"/>
  <c r="F39" i="106" s="1"/>
  <c r="F23" i="106" a="1"/>
  <c r="F23" i="106" s="1"/>
  <c r="N115" i="101" a="1"/>
  <c r="N115" i="101" s="1"/>
  <c r="G89" i="83" a="1"/>
  <c r="G89" i="83" s="1"/>
  <c r="H205" i="83" s="1" a="1"/>
  <c r="H205" i="83" s="1"/>
  <c r="F89" i="83" a="1"/>
  <c r="F89" i="83" s="1"/>
  <c r="G205" i="83" s="1" a="1"/>
  <c r="G205" i="83" s="1"/>
  <c r="H89" i="83" a="1"/>
  <c r="H89" i="83" s="1"/>
  <c r="I205" i="83" s="1" a="1"/>
  <c r="I205" i="83" s="1"/>
  <c r="E89" i="83" a="1"/>
  <c r="E89" i="83" s="1"/>
  <c r="F205" i="83" s="1" a="1"/>
  <c r="F205" i="83" s="1"/>
  <c r="R36" i="86" a="1"/>
  <c r="R36" i="86" s="1"/>
  <c r="P34" i="86" a="1"/>
  <c r="P34" i="86" s="1"/>
  <c r="F36" i="86" a="1"/>
  <c r="F36" i="86" s="1"/>
  <c r="P35" i="86" a="1"/>
  <c r="P35" i="86" s="1"/>
  <c r="R35" i="86" a="1"/>
  <c r="R35" i="86" s="1"/>
  <c r="R34" i="86" a="1"/>
  <c r="R34" i="86" s="1"/>
  <c r="F35" i="86" a="1"/>
  <c r="F35" i="86" s="1"/>
  <c r="P36" i="86" a="1"/>
  <c r="P36" i="86" s="1"/>
  <c r="S36" i="86" a="1"/>
  <c r="S36" i="86" s="1"/>
  <c r="Q35" i="86" a="1"/>
  <c r="Q35" i="86" s="1"/>
  <c r="H36" i="86" a="1"/>
  <c r="H36" i="86" s="1"/>
  <c r="S35" i="86" a="1"/>
  <c r="S35" i="86" s="1"/>
  <c r="H35" i="86" a="1"/>
  <c r="H35" i="86" s="1"/>
  <c r="S34" i="86" a="1"/>
  <c r="S34" i="86" s="1"/>
  <c r="G35" i="86" a="1"/>
  <c r="G35" i="86" s="1"/>
  <c r="H34" i="86" a="1"/>
  <c r="H34" i="86" s="1"/>
  <c r="Q34" i="86" a="1"/>
  <c r="Q34" i="86" s="1"/>
  <c r="G36" i="86" a="1"/>
  <c r="G36" i="86" s="1"/>
  <c r="F34" i="86" a="1"/>
  <c r="F34" i="86" s="1"/>
  <c r="Q36" i="86" a="1"/>
  <c r="Q36" i="86" s="1"/>
  <c r="G34" i="86" a="1"/>
  <c r="G34" i="86" s="1"/>
  <c r="I35" i="86" a="1"/>
  <c r="I35" i="86" s="1"/>
  <c r="I34" i="86" a="1"/>
  <c r="I34" i="86" s="1"/>
  <c r="I36" i="86" a="1"/>
  <c r="I36" i="86" s="1"/>
  <c r="Q86" i="83" a="1"/>
  <c r="Q86" i="83" s="1"/>
  <c r="R202" i="83" s="1" a="1"/>
  <c r="R202" i="83" s="1"/>
  <c r="R86" i="83" a="1"/>
  <c r="R86" i="83" s="1"/>
  <c r="S202" i="83" s="1" a="1"/>
  <c r="S202" i="83" s="1"/>
  <c r="P86" i="83" a="1"/>
  <c r="P86" i="83" s="1"/>
  <c r="Q202" i="83" s="1" a="1"/>
  <c r="Q202" i="83" s="1"/>
  <c r="O86" i="83" a="1"/>
  <c r="O86" i="83" s="1"/>
  <c r="P202" i="83" s="1" a="1"/>
  <c r="P202" i="83" s="1"/>
  <c r="P167" i="83" a="1"/>
  <c r="P167" i="83" s="1"/>
  <c r="P214" i="83" s="1" a="1"/>
  <c r="P214" i="83" s="1"/>
  <c r="Q167" i="83" a="1"/>
  <c r="Q167" i="83" s="1"/>
  <c r="Q214" i="83" s="1" a="1"/>
  <c r="Q214" i="83" s="1"/>
  <c r="S167" i="83" a="1"/>
  <c r="S167" i="83" s="1"/>
  <c r="S214" i="83" s="1" a="1"/>
  <c r="S214" i="83" s="1"/>
  <c r="S162" i="83" a="1"/>
  <c r="S162" i="83" s="1"/>
  <c r="S209" i="83" s="1" a="1"/>
  <c r="S209" i="83" s="1"/>
  <c r="P162" i="83" a="1"/>
  <c r="P162" i="83" s="1"/>
  <c r="P209" i="83" s="1" a="1"/>
  <c r="P209" i="83" s="1"/>
  <c r="R167" i="83" a="1"/>
  <c r="R167" i="83" s="1"/>
  <c r="R214" i="83" s="1" a="1"/>
  <c r="R214" i="83" s="1"/>
  <c r="S172" i="83" a="1"/>
  <c r="S172" i="83" s="1"/>
  <c r="S219" i="83" s="1" a="1"/>
  <c r="S219" i="83" s="1"/>
  <c r="R162" i="83" a="1"/>
  <c r="R162" i="83" s="1"/>
  <c r="R209" i="83" s="1" a="1"/>
  <c r="R209" i="83" s="1"/>
  <c r="Q172" i="83" a="1"/>
  <c r="Q172" i="83" s="1"/>
  <c r="Q219" i="83" s="1" a="1"/>
  <c r="Q219" i="83" s="1"/>
  <c r="R172" i="83" a="1"/>
  <c r="R172" i="83" s="1"/>
  <c r="R219" i="83" s="1" a="1"/>
  <c r="R219" i="83" s="1"/>
  <c r="Q162" i="83" a="1"/>
  <c r="Q162" i="83" s="1"/>
  <c r="Q209" i="83" s="1" a="1"/>
  <c r="Q209" i="83" s="1"/>
  <c r="P172" i="83" a="1"/>
  <c r="P172" i="83" s="1"/>
  <c r="P219" i="83" s="1" a="1"/>
  <c r="P219" i="83" s="1"/>
  <c r="P164" i="83" a="1"/>
  <c r="P164" i="83" s="1"/>
  <c r="P211" i="83" s="1" a="1"/>
  <c r="P211" i="83" s="1"/>
  <c r="S164" i="83" a="1"/>
  <c r="S164" i="83" s="1"/>
  <c r="S211" i="83" s="1" a="1"/>
  <c r="S211" i="83" s="1"/>
  <c r="Q164" i="83" a="1"/>
  <c r="Q164" i="83" s="1"/>
  <c r="Q211" i="83" s="1" a="1"/>
  <c r="Q211" i="83" s="1"/>
  <c r="Q159" i="83" a="1"/>
  <c r="Q159" i="83" s="1"/>
  <c r="Q206" i="83" s="1" a="1"/>
  <c r="Q206" i="83" s="1"/>
  <c r="R164" i="83" a="1"/>
  <c r="R164" i="83" s="1"/>
  <c r="R211" i="83" s="1" a="1"/>
  <c r="R211" i="83" s="1"/>
  <c r="S169" i="83" a="1"/>
  <c r="S169" i="83" s="1"/>
  <c r="S216" i="83" s="1" a="1"/>
  <c r="S216" i="83" s="1"/>
  <c r="S159" i="83" a="1"/>
  <c r="S159" i="83" s="1"/>
  <c r="S206" i="83" s="1" a="1"/>
  <c r="S206" i="83" s="1"/>
  <c r="P169" i="83" a="1"/>
  <c r="P169" i="83" s="1"/>
  <c r="P216" i="83" s="1" a="1"/>
  <c r="P216" i="83" s="1"/>
  <c r="Q169" i="83" a="1"/>
  <c r="Q169" i="83" s="1"/>
  <c r="Q216" i="83" s="1" a="1"/>
  <c r="Q216" i="83" s="1"/>
  <c r="R159" i="83" a="1"/>
  <c r="R159" i="83" s="1"/>
  <c r="R206" i="83" s="1" a="1"/>
  <c r="R206" i="83" s="1"/>
  <c r="P159" i="83" a="1"/>
  <c r="P159" i="83" s="1"/>
  <c r="P206" i="83" s="1" a="1"/>
  <c r="P206" i="83" s="1"/>
  <c r="R169" i="83" a="1"/>
  <c r="R169" i="83" s="1"/>
  <c r="R216" i="83" s="1" a="1"/>
  <c r="R216" i="83" s="1"/>
  <c r="Q166" i="83" a="1"/>
  <c r="Q166" i="83" s="1"/>
  <c r="Q213" i="83" s="1" a="1"/>
  <c r="Q213" i="83" s="1"/>
  <c r="S166" i="83" a="1"/>
  <c r="S166" i="83" s="1"/>
  <c r="S213" i="83" s="1" a="1"/>
  <c r="S213" i="83" s="1"/>
  <c r="P166" i="83" a="1"/>
  <c r="P166" i="83" s="1"/>
  <c r="P213" i="83" s="1" a="1"/>
  <c r="P213" i="83" s="1"/>
  <c r="Q171" i="83" a="1"/>
  <c r="Q171" i="83" s="1"/>
  <c r="Q218" i="83" s="1" a="1"/>
  <c r="Q218" i="83" s="1"/>
  <c r="P161" i="83" a="1"/>
  <c r="P161" i="83" s="1"/>
  <c r="P208" i="83" s="1" a="1"/>
  <c r="P208" i="83" s="1"/>
  <c r="R166" i="83" a="1"/>
  <c r="R166" i="83" s="1"/>
  <c r="R213" i="83" s="1" a="1"/>
  <c r="R213" i="83" s="1"/>
  <c r="S171" i="83" a="1"/>
  <c r="S171" i="83" s="1"/>
  <c r="S218" i="83" s="1" a="1"/>
  <c r="S218" i="83" s="1"/>
  <c r="R171" i="83" a="1"/>
  <c r="R171" i="83" s="1"/>
  <c r="R218" i="83" s="1" a="1"/>
  <c r="R218" i="83" s="1"/>
  <c r="P171" i="83" a="1"/>
  <c r="P171" i="83" s="1"/>
  <c r="P218" i="83" s="1" a="1"/>
  <c r="P218" i="83" s="1"/>
  <c r="R161" i="83" a="1"/>
  <c r="R161" i="83" s="1"/>
  <c r="R208" i="83" s="1" a="1"/>
  <c r="R208" i="83" s="1"/>
  <c r="Q161" i="83" a="1"/>
  <c r="Q161" i="83" s="1"/>
  <c r="Q208" i="83" s="1" a="1"/>
  <c r="Q208" i="83" s="1"/>
  <c r="S161" i="83" a="1"/>
  <c r="S161" i="83" s="1"/>
  <c r="S208" i="83" s="1" a="1"/>
  <c r="S208" i="83" s="1"/>
  <c r="O55" i="117" a="1"/>
  <c r="O55" i="117" s="1"/>
  <c r="R585" i="116" s="1"/>
  <c r="N45" i="89" a="1"/>
  <c r="N45" i="89" s="1"/>
  <c r="E45" i="89" a="1"/>
  <c r="E45" i="89" s="1"/>
  <c r="R89" i="83" a="1"/>
  <c r="R89" i="83" s="1"/>
  <c r="S205" i="83" s="1" a="1"/>
  <c r="S205" i="83" s="1"/>
  <c r="P89" i="83" a="1"/>
  <c r="P89" i="83" s="1"/>
  <c r="Q205" i="83" s="1" a="1"/>
  <c r="Q205" i="83" s="1"/>
  <c r="O89" i="83" a="1"/>
  <c r="O89" i="83" s="1"/>
  <c r="P205" i="83" s="1" a="1"/>
  <c r="P205" i="83" s="1"/>
  <c r="Q89" i="83" a="1"/>
  <c r="Q89" i="83" s="1"/>
  <c r="R205" i="83" s="1" a="1"/>
  <c r="R205" i="83" s="1"/>
  <c r="F70" i="105" a="1"/>
  <c r="F70" i="105" s="1"/>
  <c r="F64" i="105" a="1"/>
  <c r="F64" i="105" s="1"/>
  <c r="F77" i="105" a="1"/>
  <c r="F77" i="105" s="1"/>
  <c r="F66" i="105" a="1"/>
  <c r="F66" i="105" s="1"/>
  <c r="F61" i="105" a="1"/>
  <c r="F61" i="105" s="1"/>
  <c r="F74" i="105" a="1"/>
  <c r="F74" i="105" s="1"/>
  <c r="F75" i="105" a="1"/>
  <c r="F75" i="105" s="1"/>
  <c r="F71" i="105" a="1"/>
  <c r="F71" i="105" s="1"/>
  <c r="F73" i="105" a="1"/>
  <c r="F73" i="105" s="1"/>
  <c r="F69" i="105" a="1"/>
  <c r="F69" i="105" s="1"/>
  <c r="F72" i="105" a="1"/>
  <c r="F72" i="105" s="1"/>
  <c r="F63" i="105" a="1"/>
  <c r="F63" i="105" s="1"/>
  <c r="F76" i="105" a="1"/>
  <c r="F76" i="105" s="1"/>
  <c r="F65" i="105" a="1"/>
  <c r="F65" i="105" s="1"/>
  <c r="F67" i="105" a="1"/>
  <c r="F67" i="105" s="1"/>
  <c r="F60" i="105" a="1"/>
  <c r="F60" i="105" s="1"/>
  <c r="F68" i="105" a="1"/>
  <c r="F68" i="105" s="1"/>
  <c r="F62" i="105" a="1"/>
  <c r="F62" i="105" s="1"/>
  <c r="F59" i="105" a="1"/>
  <c r="F59" i="105" s="1"/>
  <c r="F139" i="105" a="1"/>
  <c r="F139" i="105" s="1"/>
  <c r="F143" i="105" a="1"/>
  <c r="F143" i="105" s="1"/>
  <c r="F138" i="105" a="1"/>
  <c r="F138" i="105" s="1"/>
  <c r="F140" i="105" a="1"/>
  <c r="F140" i="105" s="1"/>
  <c r="F137" i="105" a="1"/>
  <c r="F137" i="105" s="1"/>
  <c r="F144" i="105" a="1"/>
  <c r="F144" i="105" s="1"/>
  <c r="F141" i="105" a="1"/>
  <c r="F141" i="105" s="1"/>
  <c r="F142" i="105" a="1"/>
  <c r="F142" i="105" s="1"/>
  <c r="F135" i="105" a="1"/>
  <c r="F135" i="105" s="1"/>
  <c r="F136" i="105" a="1"/>
  <c r="F136" i="105" s="1"/>
  <c r="F134" i="105" a="1"/>
  <c r="F134" i="105" s="1"/>
  <c r="E96" i="85" a="1"/>
  <c r="E96" i="85" s="1"/>
  <c r="O96" i="85" a="1"/>
  <c r="O96" i="85" s="1"/>
  <c r="Q168" i="83" a="1"/>
  <c r="Q168" i="83" s="1"/>
  <c r="Q215" i="83" s="1" a="1"/>
  <c r="Q215" i="83" s="1"/>
  <c r="S168" i="83" a="1"/>
  <c r="S168" i="83" s="1"/>
  <c r="S215" i="83" s="1" a="1"/>
  <c r="S215" i="83" s="1"/>
  <c r="P168" i="83" a="1"/>
  <c r="P168" i="83" s="1"/>
  <c r="P215" i="83" s="1" a="1"/>
  <c r="P215" i="83" s="1"/>
  <c r="S173" i="83" a="1"/>
  <c r="S173" i="83" s="1"/>
  <c r="S220" i="83" s="1" a="1"/>
  <c r="S220" i="83" s="1"/>
  <c r="P163" i="83" a="1"/>
  <c r="P163" i="83" s="1"/>
  <c r="P210" i="83" s="1" a="1"/>
  <c r="P210" i="83" s="1"/>
  <c r="R168" i="83" a="1"/>
  <c r="R168" i="83" s="1"/>
  <c r="R215" i="83" s="1" a="1"/>
  <c r="R215" i="83" s="1"/>
  <c r="Q163" i="83" a="1"/>
  <c r="Q163" i="83" s="1"/>
  <c r="Q210" i="83" s="1" a="1"/>
  <c r="Q210" i="83" s="1"/>
  <c r="R173" i="83" a="1"/>
  <c r="R173" i="83" s="1"/>
  <c r="R220" i="83" s="1" a="1"/>
  <c r="R220" i="83" s="1"/>
  <c r="P173" i="83" a="1"/>
  <c r="P173" i="83" s="1"/>
  <c r="P220" i="83" s="1" a="1"/>
  <c r="P220" i="83" s="1"/>
  <c r="S163" i="83" a="1"/>
  <c r="S163" i="83" s="1"/>
  <c r="S210" i="83" s="1" a="1"/>
  <c r="S210" i="83" s="1"/>
  <c r="Q173" i="83" a="1"/>
  <c r="Q173" i="83" s="1"/>
  <c r="Q220" i="83" s="1" a="1"/>
  <c r="Q220" i="83" s="1"/>
  <c r="R163" i="83" a="1"/>
  <c r="R163" i="83" s="1"/>
  <c r="R210" i="83" s="1" a="1"/>
  <c r="R210" i="83" s="1"/>
  <c r="P160" i="83" a="1"/>
  <c r="P160" i="83" s="1"/>
  <c r="P207" i="83" s="1" a="1"/>
  <c r="P207" i="83" s="1"/>
  <c r="R160" i="83" a="1"/>
  <c r="R160" i="83" s="1"/>
  <c r="R207" i="83" s="1" a="1"/>
  <c r="R207" i="83" s="1"/>
  <c r="E62" i="78"/>
  <c r="E69" i="72"/>
  <c r="E13" i="72"/>
  <c r="E18" i="75"/>
  <c r="E20" i="75" s="1"/>
  <c r="E21" i="75" s="1"/>
  <c r="E20" i="72"/>
  <c r="S165" i="83" l="1" a="1"/>
  <c r="S165" i="83" s="1"/>
  <c r="S212" i="83" s="1" a="1"/>
  <c r="S212" i="83" s="1"/>
  <c r="E73" i="101" a="1"/>
  <c r="E73" i="101" s="1"/>
  <c r="E146" i="105"/>
  <c r="G148" i="105" s="1"/>
  <c r="E151" i="105" s="1" a="1"/>
  <c r="E151" i="105" s="1"/>
  <c r="G57" i="86" a="1"/>
  <c r="G57" i="86" s="1"/>
  <c r="G77" i="87"/>
  <c r="P56" i="86" a="1"/>
  <c r="P56" i="86" s="1"/>
  <c r="P72" i="87"/>
  <c r="F226" i="84" a="1"/>
  <c r="F226" i="84" s="1"/>
  <c r="R227" i="84" a="1"/>
  <c r="R227" i="84" s="1"/>
  <c r="P226" i="84" a="1"/>
  <c r="P226" i="84" s="1"/>
  <c r="P228" i="84" a="1"/>
  <c r="P228" i="84" s="1"/>
  <c r="I228" i="84" a="1"/>
  <c r="I228" i="84" s="1"/>
  <c r="R225" i="84" a="1"/>
  <c r="R225" i="84" s="1"/>
  <c r="I227" i="84" a="1"/>
  <c r="I227" i="84" s="1"/>
  <c r="Q225" i="84" a="1"/>
  <c r="Q225" i="84" s="1"/>
  <c r="F228" i="84" a="1"/>
  <c r="F228" i="84" s="1"/>
  <c r="Q226" i="84" a="1"/>
  <c r="Q226" i="84" s="1"/>
  <c r="R226" i="84" a="1"/>
  <c r="R226" i="84" s="1"/>
  <c r="P225" i="84" a="1"/>
  <c r="P225" i="84" s="1"/>
  <c r="S226" i="84" a="1"/>
  <c r="S226" i="84" s="1"/>
  <c r="S225" i="84" a="1"/>
  <c r="S225" i="84" s="1"/>
  <c r="G228" i="84" a="1"/>
  <c r="G228" i="84" s="1"/>
  <c r="P227" i="84" a="1"/>
  <c r="P227" i="84" s="1"/>
  <c r="H227" i="84" a="1"/>
  <c r="H227" i="84" s="1"/>
  <c r="Q228" i="84" a="1"/>
  <c r="Q228" i="84" s="1"/>
  <c r="P236" i="84" a="1"/>
  <c r="P236" i="84" s="1"/>
  <c r="I226" i="84" a="1"/>
  <c r="I226" i="84" s="1"/>
  <c r="S227" i="84" a="1"/>
  <c r="S227" i="84" s="1"/>
  <c r="G225" i="84" a="1"/>
  <c r="G225" i="84" s="1"/>
  <c r="S228" i="84" a="1"/>
  <c r="S228" i="84" s="1"/>
  <c r="H228" i="84" a="1"/>
  <c r="H228" i="84" s="1"/>
  <c r="Q227" i="84" a="1"/>
  <c r="Q227" i="84" s="1"/>
  <c r="R237" i="84" a="1"/>
  <c r="R237" i="84" s="1"/>
  <c r="F227" i="84" a="1"/>
  <c r="F227" i="84" s="1"/>
  <c r="H226" i="84" a="1"/>
  <c r="H226" i="84" s="1"/>
  <c r="G227" i="84" a="1"/>
  <c r="G227" i="84" s="1"/>
  <c r="I225" i="84" a="1"/>
  <c r="I225" i="84" s="1"/>
  <c r="R242" i="84" a="1"/>
  <c r="R242" i="84" s="1"/>
  <c r="R228" i="84" a="1"/>
  <c r="R228" i="84" s="1"/>
  <c r="G226" i="84" a="1"/>
  <c r="G226" i="84" s="1"/>
  <c r="H225" i="84" a="1"/>
  <c r="H225" i="84" s="1"/>
  <c r="F225" i="84" a="1"/>
  <c r="F225" i="84" s="1"/>
  <c r="F236" i="84" a="1"/>
  <c r="F236" i="84" s="1"/>
  <c r="R229" i="84" a="1"/>
  <c r="R229" i="84" s="1"/>
  <c r="R241" i="84" a="1"/>
  <c r="R241" i="84" s="1"/>
  <c r="R235" i="84" a="1"/>
  <c r="R235" i="84" s="1"/>
  <c r="P237" i="84" a="1"/>
  <c r="P237" i="84" s="1"/>
  <c r="P232" i="84" a="1"/>
  <c r="P232" i="84" s="1"/>
  <c r="F237" i="84" a="1"/>
  <c r="F237" i="84" s="1"/>
  <c r="R230" i="84" a="1"/>
  <c r="R230" i="84" s="1"/>
  <c r="P241" i="84" a="1"/>
  <c r="P241" i="84" s="1"/>
  <c r="F235" i="84" a="1"/>
  <c r="F235" i="84" s="1"/>
  <c r="P229" i="84" a="1"/>
  <c r="P229" i="84" s="1"/>
  <c r="P230" i="84" a="1"/>
  <c r="P230" i="84" s="1"/>
  <c r="P231" i="84" a="1"/>
  <c r="P231" i="84" s="1"/>
  <c r="R240" i="84" a="1"/>
  <c r="R240" i="84" s="1"/>
  <c r="F234" i="84" a="1"/>
  <c r="F234" i="84" s="1"/>
  <c r="R236" i="84" a="1"/>
  <c r="R236" i="84" s="1"/>
  <c r="R239" i="84" a="1"/>
  <c r="R239" i="84" s="1"/>
  <c r="P235" i="84" a="1"/>
  <c r="P235" i="84" s="1"/>
  <c r="R232" i="84" a="1"/>
  <c r="R232" i="84" s="1"/>
  <c r="P234" i="84" a="1"/>
  <c r="P234" i="84" s="1"/>
  <c r="F239" i="84" a="1"/>
  <c r="F239" i="84" s="1"/>
  <c r="R234" i="84" a="1"/>
  <c r="R234" i="84" s="1"/>
  <c r="P240" i="84" a="1"/>
  <c r="P240" i="84" s="1"/>
  <c r="R231" i="84" a="1"/>
  <c r="R231" i="84" s="1"/>
  <c r="Q232" i="84" a="1"/>
  <c r="Q232" i="84" s="1"/>
  <c r="H240" i="84" a="1"/>
  <c r="H240" i="84" s="1"/>
  <c r="G232" i="84" a="1"/>
  <c r="G232" i="84" s="1"/>
  <c r="I232" i="84" a="1"/>
  <c r="I232" i="84" s="1"/>
  <c r="H234" i="84" a="1"/>
  <c r="H234" i="84" s="1"/>
  <c r="G229" i="84" a="1"/>
  <c r="G229" i="84" s="1"/>
  <c r="P239" i="84" a="1"/>
  <c r="P239" i="84" s="1"/>
  <c r="Q236" i="84" a="1"/>
  <c r="Q236" i="84" s="1"/>
  <c r="S242" i="84" a="1"/>
  <c r="S242" i="84" s="1"/>
  <c r="S239" i="84" a="1"/>
  <c r="S239" i="84" s="1"/>
  <c r="S237" i="84" a="1"/>
  <c r="S237" i="84" s="1"/>
  <c r="H242" i="84" a="1"/>
  <c r="H242" i="84" s="1"/>
  <c r="G230" i="84" a="1"/>
  <c r="G230" i="84" s="1"/>
  <c r="I234" i="84" a="1"/>
  <c r="I234" i="84" s="1"/>
  <c r="S234" i="84" a="1"/>
  <c r="S234" i="84" s="1"/>
  <c r="G240" i="84" a="1"/>
  <c r="G240" i="84" s="1"/>
  <c r="Q240" i="84" a="1"/>
  <c r="Q240" i="84" s="1"/>
  <c r="I240" i="84" a="1"/>
  <c r="I240" i="84" s="1"/>
  <c r="F232" i="84" a="1"/>
  <c r="F232" i="84" s="1"/>
  <c r="H236" i="84" a="1"/>
  <c r="H236" i="84" s="1"/>
  <c r="Q234" i="84" a="1"/>
  <c r="Q234" i="84" s="1"/>
  <c r="Q229" i="84" a="1"/>
  <c r="Q229" i="84" s="1"/>
  <c r="Q242" i="84" a="1"/>
  <c r="Q242" i="84" s="1"/>
  <c r="S229" i="84" a="1"/>
  <c r="S229" i="84" s="1"/>
  <c r="G236" i="84" a="1"/>
  <c r="G236" i="84" s="1"/>
  <c r="F242" i="84" a="1"/>
  <c r="F242" i="84" s="1"/>
  <c r="G234" i="84" a="1"/>
  <c r="G234" i="84" s="1"/>
  <c r="G235" i="84" a="1"/>
  <c r="G235" i="84" s="1"/>
  <c r="H239" i="84" a="1"/>
  <c r="H239" i="84" s="1"/>
  <c r="I235" i="84" a="1"/>
  <c r="I235" i="84" s="1"/>
  <c r="H230" i="84" a="1"/>
  <c r="H230" i="84" s="1"/>
  <c r="I231" i="84" a="1"/>
  <c r="I231" i="84" s="1"/>
  <c r="I237" i="84" a="1"/>
  <c r="I237" i="84" s="1"/>
  <c r="S232" i="84" a="1"/>
  <c r="S232" i="84" s="1"/>
  <c r="S240" i="84" a="1"/>
  <c r="S240" i="84" s="1"/>
  <c r="I241" i="84" a="1"/>
  <c r="I241" i="84" s="1"/>
  <c r="I236" i="84" a="1"/>
  <c r="I236" i="84" s="1"/>
  <c r="I230" i="84" a="1"/>
  <c r="I230" i="84" s="1"/>
  <c r="F230" i="84" a="1"/>
  <c r="F230" i="84" s="1"/>
  <c r="I229" i="84" a="1"/>
  <c r="I229" i="84" s="1"/>
  <c r="Q235" i="84" a="1"/>
  <c r="Q235" i="84" s="1"/>
  <c r="H232" i="84" a="1"/>
  <c r="H232" i="84" s="1"/>
  <c r="Q230" i="84" a="1"/>
  <c r="Q230" i="84" s="1"/>
  <c r="G237" i="84" a="1"/>
  <c r="G237" i="84" s="1"/>
  <c r="F229" i="84" a="1"/>
  <c r="F229" i="84" s="1"/>
  <c r="Q241" i="84" a="1"/>
  <c r="Q241" i="84" s="1"/>
  <c r="S231" i="84" a="1"/>
  <c r="S231" i="84" s="1"/>
  <c r="G242" i="84" a="1"/>
  <c r="G242" i="84" s="1"/>
  <c r="G239" i="84" a="1"/>
  <c r="G239" i="84" s="1"/>
  <c r="G241" i="84" a="1"/>
  <c r="G241" i="84" s="1"/>
  <c r="Q239" i="84" a="1"/>
  <c r="Q239" i="84" s="1"/>
  <c r="S230" i="84" a="1"/>
  <c r="S230" i="84" s="1"/>
  <c r="S235" i="84" a="1"/>
  <c r="S235" i="84" s="1"/>
  <c r="S236" i="84" a="1"/>
  <c r="S236" i="84" s="1"/>
  <c r="Q237" i="84" a="1"/>
  <c r="Q237" i="84" s="1"/>
  <c r="F231" i="84" a="1"/>
  <c r="F231" i="84" s="1"/>
  <c r="G231" i="84" a="1"/>
  <c r="G231" i="84" s="1"/>
  <c r="H237" i="84" a="1"/>
  <c r="H237" i="84" s="1"/>
  <c r="H241" i="84" a="1"/>
  <c r="H241" i="84" s="1"/>
  <c r="H235" i="84" a="1"/>
  <c r="H235" i="84" s="1"/>
  <c r="S241" i="84" a="1"/>
  <c r="S241" i="84" s="1"/>
  <c r="P242" i="84" a="1"/>
  <c r="P242" i="84" s="1"/>
  <c r="H231" i="84" a="1"/>
  <c r="H231" i="84" s="1"/>
  <c r="F241" i="84" a="1"/>
  <c r="F241" i="84" s="1"/>
  <c r="F240" i="84" a="1"/>
  <c r="F240" i="84" s="1"/>
  <c r="I239" i="84" a="1"/>
  <c r="I239" i="84" s="1"/>
  <c r="H229" i="84" a="1"/>
  <c r="H229" i="84" s="1"/>
  <c r="I242" i="84" a="1"/>
  <c r="I242" i="84" s="1"/>
  <c r="Q231" i="84" a="1"/>
  <c r="Q231" i="84" s="1"/>
  <c r="G72" i="87"/>
  <c r="G56" i="86" a="1"/>
  <c r="G56" i="86" s="1"/>
  <c r="D10" i="82"/>
  <c r="D11" i="82"/>
  <c r="E30" i="92"/>
  <c r="R170" i="83" a="1"/>
  <c r="R170" i="83" s="1"/>
  <c r="R217" i="83" s="1" a="1"/>
  <c r="R217" i="83" s="1"/>
  <c r="P170" i="83" a="1"/>
  <c r="P170" i="83" s="1"/>
  <c r="P217" i="83" s="1" a="1"/>
  <c r="P217" i="83" s="1"/>
  <c r="R165" i="83" a="1"/>
  <c r="R165" i="83" s="1"/>
  <c r="R212" i="83" s="1" a="1"/>
  <c r="R212" i="83" s="1"/>
  <c r="E77" i="101" a="1"/>
  <c r="E77" i="101" s="1"/>
  <c r="Q55" i="86" a="1"/>
  <c r="Q55" i="86" s="1"/>
  <c r="Q67" i="87"/>
  <c r="F57" i="86" a="1"/>
  <c r="F57" i="86" s="1"/>
  <c r="F77" i="87"/>
  <c r="E61" i="101" a="1"/>
  <c r="E61" i="101" s="1"/>
  <c r="Q170" i="83" a="1"/>
  <c r="Q170" i="83" s="1"/>
  <c r="Q217" i="83" s="1" a="1"/>
  <c r="Q217" i="83" s="1"/>
  <c r="E70" i="101" a="1"/>
  <c r="E70" i="101" s="1"/>
  <c r="H55" i="86" a="1"/>
  <c r="H55" i="86" s="1"/>
  <c r="H67" i="87"/>
  <c r="P67" i="87"/>
  <c r="P55" i="86" a="1"/>
  <c r="P55" i="86" s="1"/>
  <c r="K48" i="103"/>
  <c r="K45" i="103" s="1"/>
  <c r="E50" i="103" s="1" a="1"/>
  <c r="E50" i="103" s="1"/>
  <c r="G52" i="103" s="1"/>
  <c r="E55" i="103" s="1" a="1"/>
  <c r="E55" i="103" s="1"/>
  <c r="J17" i="117"/>
  <c r="J14" i="117" s="1"/>
  <c r="P165" i="83" a="1"/>
  <c r="P165" i="83" s="1"/>
  <c r="P212" i="83" s="1" a="1"/>
  <c r="P212" i="83" s="1"/>
  <c r="E69" i="101" a="1"/>
  <c r="E69" i="101" s="1"/>
  <c r="S56" i="86" a="1"/>
  <c r="S56" i="86" s="1"/>
  <c r="S72" i="87"/>
  <c r="R57" i="86" a="1"/>
  <c r="R57" i="86" s="1"/>
  <c r="R77" i="87"/>
  <c r="S55" i="86" a="1"/>
  <c r="S55" i="86" s="1"/>
  <c r="S67" i="87"/>
  <c r="H56" i="86" a="1"/>
  <c r="H56" i="86" s="1"/>
  <c r="H72" i="87"/>
  <c r="E62" i="101" a="1"/>
  <c r="E62" i="101" s="1"/>
  <c r="Q56" i="86" a="1"/>
  <c r="Q56" i="86" s="1"/>
  <c r="Q72" i="87"/>
  <c r="E60" i="101" a="1"/>
  <c r="E60" i="101" s="1"/>
  <c r="E76" i="101" a="1"/>
  <c r="E76" i="101" s="1"/>
  <c r="I67" i="87"/>
  <c r="I55" i="86" a="1"/>
  <c r="I55" i="86" s="1"/>
  <c r="S77" i="87"/>
  <c r="S57" i="86" a="1"/>
  <c r="S57" i="86" s="1"/>
  <c r="E43" i="106"/>
  <c r="J89" i="106" s="1"/>
  <c r="E94" i="106" s="1" a="1"/>
  <c r="E94" i="106" s="1"/>
  <c r="G96" i="106" s="1"/>
  <c r="E99" i="106" s="1" a="1"/>
  <c r="E99" i="106" s="1"/>
  <c r="O90" i="117" a="1"/>
  <c r="O90" i="117" s="1"/>
  <c r="R586" i="116" s="1"/>
  <c r="E78" i="102"/>
  <c r="E68" i="101" a="1"/>
  <c r="E68" i="101" s="1"/>
  <c r="Q160" i="83" a="1"/>
  <c r="Q160" i="83" s="1"/>
  <c r="Q207" i="83" s="1" a="1"/>
  <c r="Q207" i="83" s="1"/>
  <c r="O222" i="83" s="1"/>
  <c r="E63" i="101" a="1"/>
  <c r="E63" i="101" s="1"/>
  <c r="E75" i="101" a="1"/>
  <c r="E75" i="101" s="1"/>
  <c r="I56" i="86" a="1"/>
  <c r="I56" i="86" s="1"/>
  <c r="I72" i="87"/>
  <c r="P57" i="86" a="1"/>
  <c r="P57" i="86" s="1"/>
  <c r="P77" i="87"/>
  <c r="E77" i="106"/>
  <c r="J90" i="106" s="1"/>
  <c r="G49" i="90"/>
  <c r="E52" i="90" s="1" a="1"/>
  <c r="E52" i="90" s="1"/>
  <c r="E15" i="13"/>
  <c r="H15" i="13" s="1" a="1"/>
  <c r="H15" i="13" s="1"/>
  <c r="G25" i="88" a="1"/>
  <c r="G25" i="88" s="1"/>
  <c r="F25" i="88" a="1"/>
  <c r="F25" i="88" s="1"/>
  <c r="Q25" i="88" a="1"/>
  <c r="Q25" i="88" s="1"/>
  <c r="P25" i="88" a="1"/>
  <c r="P25" i="88" s="1"/>
  <c r="O25" i="88" a="1"/>
  <c r="O25" i="88" s="1"/>
  <c r="E25" i="88" a="1"/>
  <c r="E25" i="88" s="1"/>
  <c r="R25" i="88" a="1"/>
  <c r="R25" i="88" s="1"/>
  <c r="H25" i="88" a="1"/>
  <c r="H25" i="88" s="1"/>
  <c r="E71" i="101" a="1"/>
  <c r="E71" i="101" s="1"/>
  <c r="H57" i="86" a="1"/>
  <c r="H57" i="86" s="1"/>
  <c r="H77" i="87"/>
  <c r="E222" i="83"/>
  <c r="Q165" i="83" a="1"/>
  <c r="Q165" i="83" s="1"/>
  <c r="Q212" i="83" s="1" a="1"/>
  <c r="Q212" i="83" s="1"/>
  <c r="I57" i="86" a="1"/>
  <c r="I57" i="86" s="1"/>
  <c r="I77" i="87"/>
  <c r="E78" i="101" a="1"/>
  <c r="E78" i="101" s="1"/>
  <c r="S160" i="83" a="1"/>
  <c r="S160" i="83" s="1"/>
  <c r="S207" i="83" s="1" a="1"/>
  <c r="S207" i="83" s="1"/>
  <c r="E65" i="101" a="1"/>
  <c r="E65" i="101" s="1"/>
  <c r="E66" i="101" a="1"/>
  <c r="E66" i="101" s="1"/>
  <c r="G67" i="87"/>
  <c r="G55" i="86" a="1"/>
  <c r="G55" i="86" s="1"/>
  <c r="F72" i="87"/>
  <c r="F56" i="86" a="1"/>
  <c r="F56" i="86" s="1"/>
  <c r="O30" i="90"/>
  <c r="T43" i="90" s="1"/>
  <c r="O47" i="90" s="1" a="1"/>
  <c r="O47" i="90" s="1"/>
  <c r="E67" i="101" a="1"/>
  <c r="E67" i="101" s="1"/>
  <c r="E72" i="101" a="1"/>
  <c r="E72" i="101" s="1"/>
  <c r="Q77" i="87"/>
  <c r="Q57" i="86" a="1"/>
  <c r="Q57" i="86" s="1"/>
  <c r="R55" i="86" a="1"/>
  <c r="R55" i="86" s="1"/>
  <c r="R67" i="87"/>
  <c r="E64" i="101" a="1"/>
  <c r="E64" i="101" s="1"/>
  <c r="F55" i="86" a="1"/>
  <c r="F55" i="86" s="1"/>
  <c r="F67" i="87"/>
  <c r="R56" i="86" a="1"/>
  <c r="R56" i="86" s="1"/>
  <c r="R72" i="87"/>
  <c r="H26" i="104" a="1"/>
  <c r="H26" i="104" s="1"/>
  <c r="H29" i="104" a="1"/>
  <c r="H29" i="104" s="1"/>
  <c r="H27" i="104" a="1"/>
  <c r="H27" i="104" s="1"/>
  <c r="H25" i="104" a="1"/>
  <c r="H25" i="104" s="1"/>
  <c r="H28" i="104" a="1"/>
  <c r="H28" i="104" s="1"/>
  <c r="E80" i="101"/>
  <c r="G82" i="101" s="1"/>
  <c r="E85" i="101" s="1" a="1"/>
  <c r="E85" i="101" s="1"/>
  <c r="J585" i="116"/>
  <c r="E11" i="13"/>
  <c r="H11" i="13" s="1" a="1"/>
  <c r="H11" i="13" s="1"/>
  <c r="G98" i="85"/>
  <c r="E101" i="85" s="1" a="1"/>
  <c r="E101" i="85" s="1"/>
  <c r="E79" i="105"/>
  <c r="G81" i="105" s="1"/>
  <c r="E84" i="105" s="1" a="1"/>
  <c r="E84" i="105" s="1"/>
  <c r="G47" i="89"/>
  <c r="E50" i="89" s="1" a="1"/>
  <c r="E50" i="89" s="1"/>
  <c r="E14" i="13"/>
  <c r="H14" i="13" s="1" a="1"/>
  <c r="H14" i="13" s="1"/>
  <c r="F11" i="13"/>
  <c r="I11" i="13" s="1" a="1"/>
  <c r="I11" i="13" s="1"/>
  <c r="Q98" i="85"/>
  <c r="O101" i="85" s="1" a="1"/>
  <c r="O101" i="85" s="1"/>
  <c r="P47" i="89"/>
  <c r="N50" i="89" s="1" a="1"/>
  <c r="N50" i="89" s="1"/>
  <c r="F14" i="13"/>
  <c r="I14" i="13" s="1" a="1"/>
  <c r="I14" i="13" s="1"/>
  <c r="D4" i="13"/>
  <c r="D55" i="13"/>
  <c r="D50" i="13"/>
  <c r="D36" i="72"/>
  <c r="F49" i="80"/>
  <c r="G49" i="80"/>
  <c r="F45" i="80"/>
  <c r="G45" i="80"/>
  <c r="Q224" i="83" l="1"/>
  <c r="O227" i="83" s="1" a="1"/>
  <c r="O227" i="83" s="1"/>
  <c r="F9" i="13"/>
  <c r="I9" i="13" s="1" a="1"/>
  <c r="I9" i="13" s="1"/>
  <c r="O27" i="88"/>
  <c r="P105" i="87" a="1"/>
  <c r="P105" i="87" s="1"/>
  <c r="P142" i="87" a="1"/>
  <c r="P142" i="87" s="1"/>
  <c r="P189" i="87" a="1"/>
  <c r="P189" i="87" s="1"/>
  <c r="I37" i="92"/>
  <c r="I47" i="92"/>
  <c r="I38" i="92"/>
  <c r="I48" i="92"/>
  <c r="I39" i="92"/>
  <c r="I46" i="92"/>
  <c r="E245" i="84"/>
  <c r="S152" i="87" a="1"/>
  <c r="S152" i="87" s="1"/>
  <c r="S115" i="87" a="1"/>
  <c r="S115" i="87" s="1"/>
  <c r="S199" i="87" a="1"/>
  <c r="S199" i="87" s="1"/>
  <c r="F115" i="87" a="1"/>
  <c r="F115" i="87" s="1"/>
  <c r="F199" i="87" a="1"/>
  <c r="F199" i="87" s="1"/>
  <c r="F152" i="87" a="1"/>
  <c r="F152" i="87" s="1"/>
  <c r="R142" i="87" a="1"/>
  <c r="R142" i="87" s="1"/>
  <c r="R189" i="87" a="1"/>
  <c r="R189" i="87" s="1"/>
  <c r="R105" i="87" a="1"/>
  <c r="R105" i="87" s="1"/>
  <c r="H194" i="87" a="1"/>
  <c r="H194" i="87" s="1"/>
  <c r="H110" i="87" a="1"/>
  <c r="H110" i="87" s="1"/>
  <c r="H147" i="87" a="1"/>
  <c r="H147" i="87" s="1"/>
  <c r="H142" i="87" a="1"/>
  <c r="H142" i="87" s="1"/>
  <c r="H105" i="87" a="1"/>
  <c r="H105" i="87" s="1"/>
  <c r="H189" i="87" a="1"/>
  <c r="H189" i="87" s="1"/>
  <c r="J586" i="116"/>
  <c r="S189" i="87" a="1"/>
  <c r="S189" i="87" s="1"/>
  <c r="S105" i="87" a="1"/>
  <c r="S105" i="87" s="1"/>
  <c r="S142" i="87" a="1"/>
  <c r="S142" i="87" s="1"/>
  <c r="R152" i="87" a="1"/>
  <c r="R152" i="87" s="1"/>
  <c r="R115" i="87" a="1"/>
  <c r="R115" i="87" s="1"/>
  <c r="R199" i="87" a="1"/>
  <c r="R199" i="87" s="1"/>
  <c r="P199" i="87" a="1"/>
  <c r="P199" i="87" s="1"/>
  <c r="P152" i="87" a="1"/>
  <c r="P152" i="87" s="1"/>
  <c r="P115" i="87" a="1"/>
  <c r="P115" i="87" s="1"/>
  <c r="I105" i="87" a="1"/>
  <c r="I105" i="87" s="1"/>
  <c r="I189" i="87" a="1"/>
  <c r="I189" i="87" s="1"/>
  <c r="I142" i="87" a="1"/>
  <c r="I142" i="87" s="1"/>
  <c r="Q105" i="87" a="1"/>
  <c r="Q105" i="87" s="1"/>
  <c r="Q142" i="87" a="1"/>
  <c r="Q142" i="87" s="1"/>
  <c r="Q189" i="87" a="1"/>
  <c r="Q189" i="87" s="1"/>
  <c r="F110" i="87" a="1"/>
  <c r="F110" i="87" s="1"/>
  <c r="F194" i="87" a="1"/>
  <c r="F194" i="87" s="1"/>
  <c r="F147" i="87" a="1"/>
  <c r="F147" i="87" s="1"/>
  <c r="O245" i="84"/>
  <c r="G152" i="87" a="1"/>
  <c r="G152" i="87" s="1"/>
  <c r="G199" i="87" a="1"/>
  <c r="G199" i="87" s="1"/>
  <c r="G115" i="87" a="1"/>
  <c r="G115" i="87" s="1"/>
  <c r="I152" i="87" a="1"/>
  <c r="I152" i="87" s="1"/>
  <c r="I199" i="87" a="1"/>
  <c r="I199" i="87" s="1"/>
  <c r="I115" i="87" a="1"/>
  <c r="I115" i="87" s="1"/>
  <c r="Q199" i="87" a="1"/>
  <c r="Q199" i="87" s="1"/>
  <c r="Q115" i="87" a="1"/>
  <c r="Q115" i="87" s="1"/>
  <c r="Q152" i="87" a="1"/>
  <c r="Q152" i="87" s="1"/>
  <c r="F15" i="13"/>
  <c r="I15" i="13" s="1" a="1"/>
  <c r="I15" i="13" s="1"/>
  <c r="Q49" i="90"/>
  <c r="O52" i="90" s="1" a="1"/>
  <c r="O52" i="90" s="1"/>
  <c r="H199" i="87" a="1"/>
  <c r="H199" i="87" s="1"/>
  <c r="H115" i="87" a="1"/>
  <c r="H115" i="87" s="1"/>
  <c r="H152" i="87" a="1"/>
  <c r="H152" i="87" s="1"/>
  <c r="S110" i="87" a="1"/>
  <c r="S110" i="87" s="1"/>
  <c r="S147" i="87" a="1"/>
  <c r="S147" i="87" s="1"/>
  <c r="S194" i="87" a="1"/>
  <c r="S194" i="87" s="1"/>
  <c r="P194" i="87" a="1"/>
  <c r="P194" i="87" s="1"/>
  <c r="P147" i="87" a="1"/>
  <c r="P147" i="87" s="1"/>
  <c r="P110" i="87" a="1"/>
  <c r="P110" i="87" s="1"/>
  <c r="R110" i="87" a="1"/>
  <c r="R110" i="87" s="1"/>
  <c r="R147" i="87" a="1"/>
  <c r="R147" i="87" s="1"/>
  <c r="R194" i="87" a="1"/>
  <c r="R194" i="87" s="1"/>
  <c r="I110" i="87" a="1"/>
  <c r="I110" i="87" s="1"/>
  <c r="I147" i="87" a="1"/>
  <c r="I147" i="87" s="1"/>
  <c r="I194" i="87" a="1"/>
  <c r="I194" i="87" s="1"/>
  <c r="Q147" i="87" a="1"/>
  <c r="Q147" i="87" s="1"/>
  <c r="Q110" i="87" a="1"/>
  <c r="Q110" i="87" s="1"/>
  <c r="Q194" i="87" a="1"/>
  <c r="Q194" i="87" s="1"/>
  <c r="E19" i="117" a="1"/>
  <c r="E19" i="117" s="1"/>
  <c r="J584" i="116" s="1"/>
  <c r="O19" i="117" a="1"/>
  <c r="O19" i="117" s="1"/>
  <c r="R584" i="116" s="1"/>
  <c r="M588" i="116" s="1" a="1"/>
  <c r="M588" i="116" s="1"/>
  <c r="O590" i="116" s="1"/>
  <c r="M593" i="116" s="1" a="1"/>
  <c r="M593" i="116" s="1"/>
  <c r="E588" i="116" a="1"/>
  <c r="E588" i="116" s="1"/>
  <c r="G590" i="116" s="1"/>
  <c r="E593" i="116" s="1" a="1"/>
  <c r="E593" i="116" s="1"/>
  <c r="G194" i="87" a="1"/>
  <c r="G194" i="87" s="1"/>
  <c r="G110" i="87" a="1"/>
  <c r="G110" i="87" s="1"/>
  <c r="G147" i="87" a="1"/>
  <c r="G147" i="87" s="1"/>
  <c r="E31" i="104"/>
  <c r="G224" i="83"/>
  <c r="E227" i="83" s="1" a="1"/>
  <c r="E227" i="83" s="1"/>
  <c r="E9" i="13"/>
  <c r="H9" i="13" s="1" a="1"/>
  <c r="H9" i="13" s="1"/>
  <c r="G142" i="87" a="1"/>
  <c r="G142" i="87" s="1"/>
  <c r="G105" i="87" a="1"/>
  <c r="G105" i="87" s="1"/>
  <c r="G189" i="87" a="1"/>
  <c r="G189" i="87" s="1"/>
  <c r="F189" i="87" a="1"/>
  <c r="F189" i="87" s="1"/>
  <c r="F105" i="87" a="1"/>
  <c r="F105" i="87" s="1"/>
  <c r="F142" i="87" a="1"/>
  <c r="F142" i="87" s="1"/>
  <c r="E59" i="86"/>
  <c r="E27" i="88"/>
  <c r="O59" i="86"/>
  <c r="G247" i="84" l="1"/>
  <c r="E250" i="84" s="1" a="1"/>
  <c r="E250" i="84" s="1"/>
  <c r="E10" i="13"/>
  <c r="H10" i="13" s="1" a="1"/>
  <c r="H10" i="13" s="1"/>
  <c r="E50" i="92"/>
  <c r="O205" i="87"/>
  <c r="O158" i="87"/>
  <c r="E41" i="92"/>
  <c r="O121" i="87"/>
  <c r="G61" i="86"/>
  <c r="E64" i="86" s="1" a="1"/>
  <c r="E64" i="86" s="1"/>
  <c r="E12" i="13"/>
  <c r="H12" i="13" s="1" a="1"/>
  <c r="H12" i="13" s="1"/>
  <c r="H23" i="13" s="1"/>
  <c r="E58" i="13" s="1"/>
  <c r="E121" i="87"/>
  <c r="E205" i="87"/>
  <c r="Q29" i="88"/>
  <c r="O32" i="88" s="1" a="1"/>
  <c r="O32" i="88" s="1"/>
  <c r="F13" i="13"/>
  <c r="I13" i="13" s="1" a="1"/>
  <c r="I13" i="13" s="1"/>
  <c r="F12" i="13"/>
  <c r="I12" i="13" s="1" a="1"/>
  <c r="I12" i="13" s="1"/>
  <c r="Q61" i="86"/>
  <c r="O64" i="86" s="1" a="1"/>
  <c r="O64" i="86" s="1"/>
  <c r="G29" i="88"/>
  <c r="E32" i="88" s="1" a="1"/>
  <c r="E32" i="88" s="1"/>
  <c r="E13" i="13"/>
  <c r="H13" i="13" s="1" a="1"/>
  <c r="H13" i="13" s="1"/>
  <c r="E158" i="87"/>
  <c r="F10" i="13"/>
  <c r="I10" i="13" s="1" a="1"/>
  <c r="I10" i="13" s="1"/>
  <c r="I23" i="13" s="1"/>
  <c r="F58" i="13" s="1"/>
  <c r="Q247" i="84"/>
  <c r="O250" i="84" s="1" a="1"/>
  <c r="O250" i="84" s="1"/>
  <c r="E59" i="13" l="1"/>
  <c r="E51" i="72"/>
  <c r="F51" i="72"/>
  <c r="F75" i="72" s="1"/>
  <c r="F80" i="72" s="1"/>
  <c r="F37" i="80" s="1"/>
  <c r="F59" i="13"/>
  <c r="I566" i="116"/>
  <c r="J35" i="93"/>
  <c r="I565" i="116"/>
  <c r="E570" i="116" s="1" a="1"/>
  <c r="E570" i="116" s="1"/>
  <c r="J34" i="93"/>
  <c r="E39" i="93" s="1" a="1"/>
  <c r="E39" i="93" s="1"/>
  <c r="E75" i="72"/>
  <c r="E80" i="72" s="1"/>
  <c r="E37" i="80" s="1"/>
  <c r="E56" i="72"/>
  <c r="E36" i="80" s="1"/>
  <c r="F56" i="72" l="1"/>
  <c r="F36" i="80" s="1"/>
  <c r="I54" i="80" s="1"/>
  <c r="H48" i="80"/>
  <c r="H46" i="80"/>
  <c r="H58" i="80"/>
  <c r="H56" i="80"/>
  <c r="H44" i="80"/>
  <c r="H54" i="80"/>
  <c r="H49" i="80"/>
  <c r="H47" i="80"/>
  <c r="H59" i="80"/>
  <c r="H45" i="80"/>
  <c r="H57" i="80"/>
  <c r="H55" i="80"/>
  <c r="I58" i="80"/>
  <c r="I56" i="80"/>
  <c r="I46" i="80"/>
  <c r="I59" i="80"/>
  <c r="I57" i="80"/>
  <c r="I47" i="80"/>
  <c r="I55" i="80"/>
  <c r="I45" i="80"/>
  <c r="I49" i="80"/>
  <c r="I48" i="80" l="1"/>
  <c r="I44"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<sst xmlns="http://schemas.openxmlformats.org/spreadsheetml/2006/main" count="3695" uniqueCount="1192">
  <si>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</si>
  <si>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</si>
  <si>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</si>
  <si>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</si>
  <si>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</si>
  <si>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</si>
  <si>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</si>
  <si>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</si>
  <si>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</si>
  <si>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</si>
  <si>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</si>
  <si>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</si>
  <si>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</si>
  <si>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</si>
  <si>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</si>
  <si>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</si>
  <si>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</si>
  <si>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</si>
  <si>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</si>
  <si>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</si>
  <si>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</si>
  <si>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</si>
  <si>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</si>
  <si>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</si>
  <si>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</si>
  <si>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</si>
  <si>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</si>
  <si>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</si>
  <si>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</si>
  <si>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</si>
  <si>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</si>
  <si>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</si>
  <si>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</si>
  <si>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</si>
  <si>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</si>
  <si>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</si>
  <si>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</si>
  <si>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</si>
  <si>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</si>
  <si>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</si>
  <si>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</si>
  <si>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</si>
  <si>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</si>
  <si>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</si>
  <si>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</si>
  <si>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</si>
  <si>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</si>
  <si>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</si>
  <si>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</si>
  <si>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</si>
  <si>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</si>
  <si>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</si>
  <si>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</si>
  <si>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</si>
  <si>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</si>
  <si>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</si>
  <si>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</si>
  <si>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</si>
  <si>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</si>
  <si>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</si>
  <si>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</si>
  <si>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</si>
  <si>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</si>
  <si>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</si>
  <si>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</si>
  <si>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</si>
  <si>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</si>
  <si>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</si>
  <si>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</si>
  <si>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</si>
  <si>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</si>
  <si>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</si>
  <si>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</si>
  <si>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</si>
  <si>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</si>
  <si>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</si>
  <si>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</si>
  <si>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</si>
  <si>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</si>
  <si>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</si>
  <si>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</si>
  <si>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</si>
  <si>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</si>
  <si>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</si>
  <si>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</si>
  <si>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</si>
  <si>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</si>
  <si>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</si>
  <si>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</si>
  <si>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</si>
  <si>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</si>
  <si>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</si>
  <si>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</si>
  <si>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</si>
  <si>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</si>
  <si>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</si>
  <si>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</si>
  <si>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</si>
  <si>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</si>
  <si>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</si>
  <si>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</si>
  <si>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</si>
  <si>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</si>
  <si>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</si>
  <si>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</si>
  <si>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</si>
  <si>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</si>
  <si>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</si>
  <si>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</si>
  <si>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</si>
  <si>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</si>
  <si>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</si>
  <si>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</si>
  <si>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</si>
  <si>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</si>
  <si>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</si>
  <si>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</si>
  <si>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</si>
  <si>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</si>
  <si>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</si>
  <si>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</si>
  <si>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</si>
  <si>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</si>
  <si>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</si>
  <si>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</si>
  <si>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</si>
  <si>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</si>
  <si>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</si>
  <si>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</si>
  <si>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</si>
  <si>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</si>
  <si>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</si>
  <si>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</si>
  <si>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</si>
  <si>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</si>
  <si>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</si>
  <si>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</si>
  <si>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</si>
  <si>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</si>
  <si>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</si>
  <si>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</si>
  <si>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</si>
  <si>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</si>
  <si>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</si>
  <si>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</si>
  <si>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</si>
  <si>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</si>
  <si>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</si>
  <si>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</si>
  <si>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</si>
  <si>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</si>
  <si>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</si>
  <si>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</si>
  <si>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</si>
  <si>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</si>
  <si>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</si>
  <si>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</si>
  <si>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</si>
  <si>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</si>
  <si>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</si>
  <si>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</si>
  <si>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</si>
  <si>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</si>
  <si>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</si>
  <si>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</si>
  <si>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</si>
  <si>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</si>
  <si>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</si>
  <si>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</si>
  <si>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</si>
  <si>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</si>
  <si>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</si>
  <si>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</si>
  <si>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</si>
  <si>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</si>
  <si>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</si>
  <si>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</si>
  <si>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</si>
  <si>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</si>
  <si>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</si>
  <si>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</si>
  <si>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</si>
  <si>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</si>
  <si>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</si>
  <si>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</si>
  <si>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</si>
  <si>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</si>
  <si>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</si>
  <si>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</si>
  <si>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</si>
  <si>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</si>
  <si>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</si>
  <si>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</si>
  <si>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</si>
  <si>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</si>
  <si>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</si>
  <si>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</si>
  <si>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</si>
  <si>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</si>
  <si>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</si>
  <si>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</si>
  <si>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</si>
  <si>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</si>
  <si>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</si>
  <si>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</si>
  <si>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</si>
  <si>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</si>
  <si>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</si>
  <si>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</si>
  <si>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</si>
  <si>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</si>
  <si>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</si>
  <si>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</si>
  <si>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</si>
  <si>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</si>
  <si>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</si>
  <si>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</si>
  <si>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</si>
  <si>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</si>
  <si>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</si>
  <si>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</si>
  <si>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</si>
  <si>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</si>
  <si>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</si>
  <si>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</si>
  <si>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</si>
  <si>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</si>
  <si>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</si>
  <si>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</si>
  <si>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</si>
  <si>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</si>
  <si>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</si>
  <si>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</si>
  <si>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</si>
  <si>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</si>
  <si>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</si>
  <si>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</si>
  <si>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</si>
  <si>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</si>
  <si>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</si>
  <si>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</si>
  <si>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</si>
  <si>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</si>
  <si>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</si>
  <si>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</si>
  <si>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</si>
  <si>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</si>
  <si>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</si>
  <si>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</si>
  <si>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</si>
  <si>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</si>
  <si>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</si>
  <si>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</si>
  <si>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</si>
  <si>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</si>
  <si>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</si>
  <si>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</si>
  <si>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</si>
  <si>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</si>
  <si>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</si>
  <si>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</si>
  <si>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</si>
  <si>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</si>
  <si>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</si>
  <si>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</si>
  <si>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Manure produced</t>
  </si>
  <si>
    <t>10.1.1-2 Solid waste treatment</t>
  </si>
  <si>
    <t>15.1.1.1 Total emissions from purchased livestock - Pigs</t>
  </si>
  <si>
    <t>15.2.1.1 Emissions from purchased feed</t>
  </si>
  <si>
    <t>15.10.1.1 Other: Pharmacy chemicals</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</si>
  <si>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</si>
  <si>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</si>
  <si>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</si>
  <si>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</si>
  <si>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</si>
  <si>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</si>
  <si>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</si>
  <si>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</si>
  <si>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Poultry management</t>
  </si>
  <si>
    <t>Birds sold</t>
  </si>
  <si>
    <t>Eggs sold</t>
  </si>
  <si>
    <t>Percentage of income from birds sold</t>
  </si>
  <si>
    <t>Percentage of income from eggs sold</t>
  </si>
  <si>
    <t>Eggs sold - excluding removals</t>
  </si>
  <si>
    <t>Eggs sold - net emissions</t>
  </si>
  <si>
    <t xml:space="preserve">4.6.1.1-2 Manure Methane </t>
  </si>
  <si>
    <t xml:space="preserve">4.6.1.3-4 Manure Direct N20 </t>
  </si>
  <si>
    <t>4.6.1.5-6 Manure Atmospheric Deposition</t>
  </si>
  <si>
    <t>4.6.1.7-8 Manure Leaching and runoff</t>
  </si>
  <si>
    <t>4.6.1.10-11 Soil direct N2O</t>
  </si>
  <si>
    <t>4.6.1.12-13 Soil atmos dep</t>
  </si>
  <si>
    <t>4.6.1.14-15 Soil leach runoff</t>
  </si>
  <si>
    <t>t co2e/t birds sold</t>
  </si>
  <si>
    <t>t co2e/t eggs sold</t>
  </si>
  <si>
    <t>t co2e/t manure sold</t>
  </si>
  <si>
    <t>Input -Poultry</t>
  </si>
  <si>
    <t>This tool demostrates inputs for one production system.</t>
  </si>
  <si>
    <t>Layers</t>
  </si>
  <si>
    <t>Meat chicken growers</t>
  </si>
  <si>
    <t>Meat chicken breeders</t>
  </si>
  <si>
    <t>Other</t>
  </si>
  <si>
    <t>Head</t>
  </si>
  <si>
    <t>Manure production</t>
  </si>
  <si>
    <t>Method 1 default values (Do not edit)</t>
  </si>
  <si>
    <t>Dry matter intake</t>
  </si>
  <si>
    <t>kg/DM/bird/day</t>
  </si>
  <si>
    <t>Dry matter digestibility (DMD)</t>
  </si>
  <si>
    <t>fraction</t>
  </si>
  <si>
    <t>Crude protein (CP)</t>
  </si>
  <si>
    <t>Method 2 custom values (Edit if known)</t>
  </si>
  <si>
    <t>Manure management systems</t>
  </si>
  <si>
    <t>Production system</t>
  </si>
  <si>
    <t>Cage</t>
  </si>
  <si>
    <t xml:space="preserve"> </t>
  </si>
  <si>
    <t>Stage 1 MMS</t>
  </si>
  <si>
    <t>Percent</t>
  </si>
  <si>
    <t>Total sent to all MMS (Must equal 100%)</t>
  </si>
  <si>
    <t>▼</t>
  </si>
  <si>
    <t>Stage 2 MMS</t>
  </si>
  <si>
    <t>►</t>
  </si>
  <si>
    <t>Destination after stage 2 MMS (Percent)</t>
  </si>
  <si>
    <t>Sold</t>
  </si>
  <si>
    <t>Fert for own farm (eg crop)</t>
  </si>
  <si>
    <t>Direct application to soil</t>
  </si>
  <si>
    <t>Where manure was deposited on farm soils, what is the closest match?</t>
  </si>
  <si>
    <t>Crop</t>
  </si>
  <si>
    <t>Sprinkler irrigation</t>
  </si>
  <si>
    <t>4.6.1.1-2 Manure Methane</t>
  </si>
  <si>
    <t>Function name</t>
  </si>
  <si>
    <t>Variable</t>
  </si>
  <si>
    <t>M1_Table_I_j_k</t>
  </si>
  <si>
    <t>M2_Table_I_j_k</t>
  </si>
  <si>
    <t>Dry matter intake (Method 1)</t>
  </si>
  <si>
    <t>Dry matter intake (Method 2)</t>
  </si>
  <si>
    <t>M1_Table_DMD_j_k</t>
  </si>
  <si>
    <t>M2_Table_DMD_j_k</t>
  </si>
  <si>
    <t>Dry matter digestibility (Method 1)</t>
  </si>
  <si>
    <t>Dry matter digestibility (Method 2)</t>
  </si>
  <si>
    <t>Table_A_j</t>
  </si>
  <si>
    <t>Ash content of manure</t>
  </si>
  <si>
    <t>M1_Table_VS_j_k</t>
  </si>
  <si>
    <t>M2_Table_VS_j_k</t>
  </si>
  <si>
    <t>Volatile solid production (Method 1)</t>
  </si>
  <si>
    <t>Volatile solid production (Method 2)</t>
  </si>
  <si>
    <t>Table_MMS_j_m_T-1</t>
  </si>
  <si>
    <t>Fraction of manure sent to stage 1 MMS</t>
  </si>
  <si>
    <t>Table_B_0_j</t>
  </si>
  <si>
    <t>Methane emissions potential per class</t>
  </si>
  <si>
    <t>Table_MCF_i_m</t>
  </si>
  <si>
    <t>Methane conversion factor for state</t>
  </si>
  <si>
    <t>MMS</t>
  </si>
  <si>
    <r>
      <t>MCF</t>
    </r>
    <r>
      <rPr>
        <b/>
        <vertAlign val="subscript"/>
        <sz val="10"/>
        <color rgb="FF183C1B"/>
        <rFont val="Arial"/>
        <family val="1"/>
      </rPr>
      <t>im</t>
    </r>
  </si>
  <si>
    <t>No data</t>
  </si>
  <si>
    <t>M1_Table_M_j_k_m_T-1</t>
  </si>
  <si>
    <t>M2_Table_M_j_k_m_T-1</t>
  </si>
  <si>
    <t>Production of methane in stage 1 MMS (Method 1)</t>
  </si>
  <si>
    <t>Production of methane in stage 1 MMS (Method 2)</t>
  </si>
  <si>
    <t>Table_VSL_m_T-1</t>
  </si>
  <si>
    <t>Fraction volatile solids lost in stage 1 MMS</t>
  </si>
  <si>
    <r>
      <t>VSL</t>
    </r>
    <r>
      <rPr>
        <b/>
        <vertAlign val="subscript"/>
        <sz val="10"/>
        <color rgb="FF183C1B"/>
        <rFont val="Arial"/>
        <family val="1"/>
      </rPr>
      <t>mT=1</t>
    </r>
  </si>
  <si>
    <t>M1_Table_VST_j_k</t>
  </si>
  <si>
    <t>M2_Table_VST_j_k</t>
  </si>
  <si>
    <t>Volatile solids sent to stage 2 MMS (Method 1)</t>
  </si>
  <si>
    <t>Volatile solids sent to stage 2 MMS (Method 2)</t>
  </si>
  <si>
    <t>Table_MMS_j_m_T-2</t>
  </si>
  <si>
    <t>Fraction of manure in stage 2 MMS</t>
  </si>
  <si>
    <t>M1_Table_M_j_k_m_T-2</t>
  </si>
  <si>
    <t>Production of methane in stage 2 MMS</t>
  </si>
  <si>
    <t>Table_D_j_k</t>
  </si>
  <si>
    <t>Duration of stay</t>
  </si>
  <si>
    <t>Table_N_j_k</t>
  </si>
  <si>
    <t>Number of poultry</t>
  </si>
  <si>
    <t>M1_Table_N_j_k</t>
  </si>
  <si>
    <t>M2_Table_N_j_k</t>
  </si>
  <si>
    <t>Methane emissions from manure management (Method 1)</t>
  </si>
  <si>
    <t>Methane emissions from manure management (Method 2)</t>
  </si>
  <si>
    <r>
      <t>E</t>
    </r>
    <r>
      <rPr>
        <b/>
        <vertAlign val="subscript"/>
        <sz val="14"/>
        <color theme="1" tint="0.24994659260841701"/>
        <rFont val="Arial"/>
        <family val="1"/>
      </rPr>
      <t>CH4</t>
    </r>
  </si>
  <si>
    <r>
      <t>E</t>
    </r>
    <r>
      <rPr>
        <vertAlign val="subscript"/>
        <sz val="10"/>
        <color theme="1" tint="0.24994659260841701"/>
        <rFont val="Arial"/>
        <family val="1"/>
      </rPr>
      <t>CO2e</t>
    </r>
  </si>
  <si>
    <t>4.6.1.3-4 Manure Direct N2O</t>
  </si>
  <si>
    <t>M1_Table_CP_j_k</t>
  </si>
  <si>
    <t>M2_Table_CP_j_k</t>
  </si>
  <si>
    <t>Crude protein content of feed (Method 1)</t>
  </si>
  <si>
    <t>Crude protein content of feed (Method 2)</t>
  </si>
  <si>
    <t>M1_Table_NI_j_k</t>
  </si>
  <si>
    <t>M2_Table_NI_j_k</t>
  </si>
  <si>
    <t>Nitrogen intake (Method 1)</t>
  </si>
  <si>
    <t>Nitrogen intake (Method 2)</t>
  </si>
  <si>
    <t>Table_NR_j_k</t>
  </si>
  <si>
    <t>Nitrogen retention rate</t>
  </si>
  <si>
    <t>M1_Table_NE_j_k</t>
  </si>
  <si>
    <t>M2_Table_NE_j_k</t>
  </si>
  <si>
    <t>Nitrogen excretion (Method 1)</t>
  </si>
  <si>
    <t>Nitrogen excretion (Method 2)</t>
  </si>
  <si>
    <t>M1_Table_AE_j_k</t>
  </si>
  <si>
    <t>M2_Table_AE_j_k</t>
  </si>
  <si>
    <t>Annual nitroge excretion (Method 1)</t>
  </si>
  <si>
    <t>Annual nitroge excretion (Method 2)</t>
  </si>
  <si>
    <t>M1_Table_MN_j_k_m_T-1</t>
  </si>
  <si>
    <t>M2_Table_MN_j_k_m_T-1</t>
  </si>
  <si>
    <t>Nitrogen in stage 1 MMS (Method 1)</t>
  </si>
  <si>
    <t>Nitrogen in stage 1 MMS (Method 2)</t>
  </si>
  <si>
    <t>Table_FracGASM_m_T-1</t>
  </si>
  <si>
    <t>Faction N volatilised in stage 1 MMS</t>
  </si>
  <si>
    <t>FracGASM</t>
  </si>
  <si>
    <t>Table_EF_m</t>
  </si>
  <si>
    <t>Nitrous oxide emission factor for stage 1 MMS</t>
  </si>
  <si>
    <t>EFm</t>
  </si>
  <si>
    <t>M1_Table_NT_j_k_m_T-1</t>
  </si>
  <si>
    <t>M2_Table_NT_j_k_m_T-1</t>
  </si>
  <si>
    <t>Nitrogen transferred to stage 2 MMS (Method 1)</t>
  </si>
  <si>
    <t>Nitrogen transferred to stage 2 MMS (Method 2)</t>
  </si>
  <si>
    <t>M1_Table_MN_j_k_m_T-2</t>
  </si>
  <si>
    <t>M2_Table_MN_j_k_m_T-2</t>
  </si>
  <si>
    <t>Nitrogen in stage 2 MMS (Method 1)</t>
  </si>
  <si>
    <t>Nitrogen in stage 2 MMS (Method 2)</t>
  </si>
  <si>
    <r>
      <rPr>
        <b/>
        <sz val="10"/>
        <color rgb="FF0070C0"/>
        <rFont val="Arial"/>
        <family val="1"/>
      </rPr>
      <t>Note:</t>
    </r>
    <r>
      <rPr>
        <sz val="10"/>
        <color rgb="FF0070C0"/>
        <rFont val="Arial"/>
        <family val="1"/>
      </rPr>
      <t xml:space="preserve"> Manure that is directly applied to soil after stage 1 is</t>
    </r>
    <r>
      <rPr>
        <i/>
        <sz val="10"/>
        <color rgb="FF0070C0"/>
        <rFont val="Arial"/>
        <family val="1"/>
      </rPr>
      <t xml:space="preserve"> not</t>
    </r>
    <r>
      <rPr>
        <sz val="10"/>
        <color rgb="FF0070C0"/>
        <rFont val="Arial"/>
        <family val="1"/>
      </rPr>
      <t xml:space="preserve"> included in Direct N2O calculations</t>
    </r>
  </si>
  <si>
    <t>and instead is handled in 'Manure applied to soils'.</t>
  </si>
  <si>
    <t>M1_Table_E_N2O_dir</t>
  </si>
  <si>
    <t>M2_Table_E_N2O_dir</t>
  </si>
  <si>
    <t>Total annual direct nitrous oxide emissions from MMS (Method 1)</t>
  </si>
  <si>
    <t>Total annual direct nitrous oxide emissions from MMS (Method 2)</t>
  </si>
  <si>
    <r>
      <t>E</t>
    </r>
    <r>
      <rPr>
        <b/>
        <vertAlign val="subscript"/>
        <sz val="14"/>
        <color theme="1" tint="0.24994659260841701"/>
        <rFont val="Arial"/>
        <family val="1"/>
      </rPr>
      <t>N2O,dir</t>
    </r>
  </si>
  <si>
    <t>4.6.1.5-6 Atmospheric deposition N2O</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</si>
  <si>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</si>
  <si>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t>M1_Table_MN_j_k_m_T</t>
  </si>
  <si>
    <t>M2_Table_MN_j_k_m_T</t>
  </si>
  <si>
    <t>Nitrogen in each MMS (Method 1)</t>
  </si>
  <si>
    <t>Nitrogen in each MMS (Method 2)</t>
  </si>
  <si>
    <t>Table_FracGASM_m_T</t>
  </si>
  <si>
    <t>Faction N volatilised in MMS</t>
  </si>
  <si>
    <t>M1_Table_MMS_ATMOS</t>
  </si>
  <si>
    <t>M2_Table_MMS_ATMOS</t>
  </si>
  <si>
    <t>Total nitrogen volatilised from each MMS (Method 1)</t>
  </si>
  <si>
    <t>Total nitrogen volatilised from each MMS (Method 2)</t>
  </si>
  <si>
    <r>
      <t>MMS</t>
    </r>
    <r>
      <rPr>
        <b/>
        <vertAlign val="subscript"/>
        <sz val="10"/>
        <color theme="1" tint="0.24994659260841701"/>
        <rFont val="Arial"/>
        <family val="1"/>
      </rPr>
      <t>ATMOS</t>
    </r>
  </si>
  <si>
    <r>
      <t>E</t>
    </r>
    <r>
      <rPr>
        <b/>
        <vertAlign val="subscript"/>
        <sz val="14"/>
        <color theme="1" tint="0.24994659260841701"/>
        <rFont val="Arial"/>
        <family val="1"/>
      </rPr>
      <t>N2O,ad</t>
    </r>
  </si>
  <si>
    <t>4.6.1.7-8 Leaching and runoff</t>
  </si>
  <si>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</si>
  <si>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</si>
  <si>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0"/>
        <color rgb="FF0070C0"/>
        <rFont val="Arial"/>
        <family val="1"/>
      </rPr>
      <t>emissions from leaching and run off are only estimated for solid storage stockpiles</t>
    </r>
    <r>
      <rPr>
        <sz val="10"/>
        <color rgb="FF0070C0"/>
        <rFont val="Arial"/>
        <family val="1"/>
      </rPr>
      <t xml:space="preserve"> MMS (m=4)</t>
    </r>
  </si>
  <si>
    <t>M1_Table_MN_j_k_m-4</t>
  </si>
  <si>
    <t>Nitrogen in solid storage MMS (Method 1)</t>
  </si>
  <si>
    <t>M1_Table_MN_Leach_j_k_m-4</t>
  </si>
  <si>
    <t>M2_Table_MN_j_k_m-4</t>
  </si>
  <si>
    <t>Mass of N lost to leaching and runoff (Method 1)</t>
  </si>
  <si>
    <t>Mass of N lost to leaching and runoff (Method 2)</t>
  </si>
  <si>
    <t>M1_Table_E_N2O_leach</t>
  </si>
  <si>
    <t>M2_Table_E_N2O_leach</t>
  </si>
  <si>
    <t>Annual emissions from leaching and runoff (Method 1)</t>
  </si>
  <si>
    <t>Annual emissions from leaching and runoff (Method 2)</t>
  </si>
  <si>
    <t>4.6.1.9 Manure applied to soils</t>
  </si>
  <si>
    <t>M1_Table_MNLeach_MMS</t>
  </si>
  <si>
    <t>M2_Table_MNLeach_MMS</t>
  </si>
  <si>
    <t>Table_PF</t>
  </si>
  <si>
    <t>Fraction of manure applied to soils on farm</t>
  </si>
  <si>
    <t>PF</t>
  </si>
  <si>
    <t>M1_Table_MNSoil_scope1</t>
  </si>
  <si>
    <t>M2_Table_MNSoil_scope1</t>
  </si>
  <si>
    <t>Mass of nitrogen applied to soils for scope 1</t>
  </si>
  <si>
    <t>Mass of nitrogen applied to soils for scope 2</t>
  </si>
  <si>
    <r>
      <t>MNSoil</t>
    </r>
    <r>
      <rPr>
        <b/>
        <vertAlign val="subscript"/>
        <sz val="14"/>
        <color theme="1" tint="0.24994659260841701"/>
        <rFont val="Arial"/>
        <family val="1"/>
      </rPr>
      <t>scope1</t>
    </r>
  </si>
  <si>
    <t>M1_Table_MNSoil_scope3</t>
  </si>
  <si>
    <t>M2_Table_MNSoil_scope3</t>
  </si>
  <si>
    <t>Mass of nitrogen applied to soils for scope 3 (Method 1)</t>
  </si>
  <si>
    <t>Mass of nitrogen applied to soils for scope 3 (Method 2)</t>
  </si>
  <si>
    <r>
      <t>MNSoil</t>
    </r>
    <r>
      <rPr>
        <b/>
        <vertAlign val="subscript"/>
        <sz val="14"/>
        <color theme="1" tint="0.24994659260841701"/>
        <rFont val="Arial"/>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</si>
  <si>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</si>
  <si>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</si>
  <si>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</si>
  <si>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</si>
  <si>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</si>
  <si>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</si>
  <si>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</si>
  <si>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</si>
  <si>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r>
      <t>MNSoil</t>
    </r>
    <r>
      <rPr>
        <b/>
        <vertAlign val="subscript"/>
        <sz val="14"/>
        <color theme="1" tint="0.24994659260841701"/>
        <rFont val="Arial"/>
        <family val="1"/>
      </rPr>
      <t>scope1,fert</t>
    </r>
  </si>
  <si>
    <t>M1_Table_MN_j_k_m-14_T-1</t>
  </si>
  <si>
    <t>M2_Table_MN_j_k_m-14_T-1</t>
  </si>
  <si>
    <t>Mass on nitrogen excreted on pasture range and paddock (Method 1)</t>
  </si>
  <si>
    <t>Mass on nitrogen excreted on pasture range and paddock (Method 2)</t>
  </si>
  <si>
    <t>M1_Table_EM_N2O_PRP_dir</t>
  </si>
  <si>
    <t>M2_Table_EM_N2O_PRP_dir</t>
  </si>
  <si>
    <t>Direct nitrous oxide emissions from manure on pasture (Method 1)</t>
  </si>
  <si>
    <t>Direct nitrous oxide emissions from manure on pasture (Method 2)</t>
  </si>
  <si>
    <t>kg N</t>
  </si>
  <si>
    <r>
      <t>EM</t>
    </r>
    <r>
      <rPr>
        <b/>
        <vertAlign val="subscript"/>
        <sz val="14"/>
        <color theme="1" tint="0.24994659260841701"/>
        <rFont val="Arial"/>
        <family val="1"/>
      </rPr>
      <t>N2O,PRP,dir</t>
    </r>
  </si>
  <si>
    <t>4.6.1.12-13 Soil atmospheric deposition</t>
  </si>
  <si>
    <t>M1_Table_M_vol_m-14</t>
  </si>
  <si>
    <t>M2_Table_M_vol_m-14</t>
  </si>
  <si>
    <r>
      <t>M</t>
    </r>
    <r>
      <rPr>
        <b/>
        <vertAlign val="subscript"/>
        <sz val="10"/>
        <color theme="1" tint="0.24994659260841701"/>
        <rFont val="Arial"/>
        <family val="1"/>
      </rPr>
      <t>vol,m=14</t>
    </r>
  </si>
  <si>
    <t>4.6.1.14-15 Soil leaching and runoff</t>
  </si>
  <si>
    <r>
      <t>M</t>
    </r>
    <r>
      <rPr>
        <b/>
        <vertAlign val="subscript"/>
        <sz val="10"/>
        <color theme="1" tint="0.24994659260841701"/>
        <rFont val="Arial"/>
        <family val="1"/>
      </rPr>
      <t>leach,m=14</t>
    </r>
  </si>
  <si>
    <t>Constants - Poultry</t>
  </si>
  <si>
    <t>Nutrient analysis</t>
  </si>
  <si>
    <t>Meat chicken breeder</t>
  </si>
  <si>
    <t>Meat other</t>
  </si>
  <si>
    <t>Poultry class</t>
  </si>
  <si>
    <t>B0</t>
  </si>
  <si>
    <t>Poultry manure management systems</t>
  </si>
  <si>
    <t>Poultry manure management systems - Stage 1</t>
  </si>
  <si>
    <t>Poultry manure management systems - Stage 2</t>
  </si>
  <si>
    <t>Symbol and MMS</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</si>
  <si>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</si>
  <si>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</si>
  <si>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</si>
  <si>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</si>
  <si>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</si>
  <si>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</si>
  <si>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</si>
  <si>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</si>
  <si>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</si>
  <si>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</si>
  <si>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</si>
  <si>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</si>
  <si>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</si>
  <si>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Poultry crop or pasture production systems</t>
  </si>
  <si>
    <t>Irrigation methods</t>
  </si>
  <si>
    <t>Not irrigated</t>
  </si>
  <si>
    <t>Drip irrigation</t>
  </si>
  <si>
    <t>Surface irrigation</t>
  </si>
  <si>
    <t>Other irrigation</t>
  </si>
  <si>
    <t>MMS m</t>
  </si>
  <si>
    <t>All states</t>
  </si>
  <si>
    <t>NSW</t>
  </si>
  <si>
    <t>ACT</t>
  </si>
  <si>
    <t>QLD</t>
  </si>
  <si>
    <t>NT</t>
  </si>
  <si>
    <t>VIC</t>
  </si>
  <si>
    <t>SA</t>
  </si>
  <si>
    <t>WA</t>
  </si>
  <si>
    <t>TAS</t>
  </si>
  <si>
    <t>NIR definition</t>
  </si>
  <si>
    <t>VSL</t>
  </si>
  <si>
    <t>MMSm</t>
  </si>
  <si>
    <t>FracGASMmT</t>
  </si>
  <si>
    <t>NIR reference</t>
  </si>
  <si>
    <t>EFmT</t>
  </si>
  <si>
    <t>Livestock class j</t>
  </si>
  <si>
    <t>Average liveweight (kg)</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</si>
  <si>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</si>
  <si>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</si>
  <si>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</si>
  <si>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</si>
  <si>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</si>
  <si>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</si>
  <si>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</si>
  <si>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</si>
  <si>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</si>
  <si>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</si>
  <si>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</si>
  <si>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</si>
  <si>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</si>
  <si>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</si>
  <si>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</si>
  <si>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</si>
  <si>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</si>
  <si>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</si>
  <si>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</si>
  <si>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</si>
  <si>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</si>
  <si>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</si>
  <si>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</si>
  <si>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</si>
  <si>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</si>
  <si>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</si>
  <si>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</si>
  <si>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</si>
  <si>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</si>
  <si>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</si>
  <si>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</si>
  <si>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Renewable Energy Certificates (RECs) for electricity produced on-site and consumed by the entity</t>
  </si>
  <si>
    <t>Source</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</si>
  <si>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</si>
  <si>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</si>
  <si>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</si>
  <si>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</si>
  <si>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</si>
  <si>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</si>
  <si>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</si>
  <si>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</si>
  <si>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</si>
  <si>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</si>
  <si>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</si>
  <si>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</si>
  <si>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</si>
  <si>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</si>
  <si>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</si>
  <si>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</si>
  <si>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</si>
  <si>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</si>
  <si>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</si>
  <si>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</si>
  <si>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</si>
  <si>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</si>
  <si>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</si>
  <si>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</si>
  <si>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</si>
  <si>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</si>
  <si>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</si>
  <si>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</si>
  <si>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</si>
  <si>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</si>
  <si>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</si>
  <si>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</si>
  <si>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</si>
  <si>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</si>
  <si>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</si>
  <si>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</si>
  <si>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</si>
  <si>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</si>
  <si>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</si>
  <si>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</si>
  <si>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</si>
  <si>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</si>
  <si>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</si>
  <si>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</si>
  <si>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</si>
  <si>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</si>
  <si>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</si>
  <si>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</si>
  <si>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</si>
  <si>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</si>
  <si>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</si>
  <si>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</si>
  <si>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</si>
  <si>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</si>
  <si>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</si>
  <si>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</si>
  <si>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</si>
  <si>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</si>
  <si>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</si>
  <si>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</si>
  <si>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</si>
  <si>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</si>
  <si>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</si>
  <si>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</si>
  <si>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</si>
  <si>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</si>
  <si>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</si>
  <si>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</si>
  <si>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</si>
  <si>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</si>
  <si>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</si>
  <si>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</si>
  <si>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</si>
  <si>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</si>
  <si>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</si>
  <si>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</si>
  <si>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</si>
  <si>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</si>
  <si>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</si>
  <si>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</si>
  <si>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</si>
  <si>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</si>
  <si>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</si>
  <si>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</si>
  <si>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</si>
  <si>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</si>
  <si>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</si>
  <si>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</si>
  <si>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</si>
  <si>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</si>
  <si>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</si>
  <si>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</si>
  <si>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</si>
  <si>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</si>
  <si>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</si>
  <si>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</si>
  <si>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</si>
  <si>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</si>
  <si>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</si>
  <si>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</si>
  <si>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</si>
  <si>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</si>
  <si>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</si>
  <si>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</si>
  <si>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</si>
  <si>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</si>
  <si>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</si>
  <si>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</si>
  <si>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</si>
  <si>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</si>
  <si>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Fertiliser Production System</t>
  </si>
  <si>
    <t>Crop type</t>
  </si>
  <si>
    <t>Maize</t>
  </si>
  <si>
    <t>Area under cropping</t>
  </si>
  <si>
    <t>hectares</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</si>
  <si>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</si>
  <si>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</si>
  <si>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</si>
  <si>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</si>
  <si>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</si>
  <si>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</si>
  <si>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</si>
  <si>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</si>
  <si>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</si>
  <si>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</si>
  <si>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</si>
  <si>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</si>
  <si>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</si>
  <si>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</si>
  <si>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</si>
  <si>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</si>
  <si>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</si>
  <si>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</si>
  <si>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</si>
  <si>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</si>
  <si>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</si>
  <si>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</si>
  <si>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</si>
  <si>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</si>
  <si>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</si>
  <si>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</si>
  <si>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</si>
  <si>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</si>
  <si>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</si>
  <si>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</si>
  <si>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</si>
  <si>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</si>
  <si>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</si>
  <si>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</si>
  <si>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</si>
  <si>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</si>
  <si>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</si>
  <si>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</si>
  <si>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</si>
  <si>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</si>
  <si>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</si>
  <si>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</si>
  <si>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</si>
  <si>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</si>
  <si>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</si>
  <si>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</si>
  <si>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</si>
  <si>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</si>
  <si>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</si>
  <si>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</si>
  <si>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</si>
  <si>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</si>
  <si>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</si>
  <si>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</si>
  <si>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</si>
  <si>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</si>
  <si>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</si>
  <si>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</si>
  <si>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</si>
  <si>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</si>
  <si>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</si>
  <si>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</si>
  <si>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</si>
  <si>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</si>
  <si>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</si>
  <si>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</si>
  <si>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</si>
  <si>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</si>
  <si>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</si>
  <si>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</si>
  <si>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</si>
  <si>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</si>
  <si>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</si>
  <si>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</si>
  <si>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</si>
  <si>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</si>
  <si>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</si>
  <si>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</si>
  <si>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</si>
  <si>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</si>
  <si>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</si>
  <si>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</si>
  <si>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</si>
  <si>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</si>
  <si>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</si>
  <si>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</si>
  <si>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</si>
  <si>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</si>
  <si>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</si>
  <si>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</si>
  <si>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</si>
  <si>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</si>
  <si>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</si>
  <si>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</si>
  <si>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</si>
  <si>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</si>
  <si>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</si>
  <si>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</si>
  <si>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</si>
  <si>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</si>
  <si>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</si>
  <si>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</si>
  <si>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</si>
  <si>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</si>
  <si>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</si>
  <si>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</si>
  <si>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</si>
  <si>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</si>
  <si>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</si>
  <si>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</si>
  <si>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</si>
  <si>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</si>
  <si>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</si>
  <si>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</si>
  <si>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</si>
  <si>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</si>
  <si>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</si>
  <si>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</si>
  <si>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</si>
  <si>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</si>
  <si>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</si>
  <si>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</si>
  <si>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</si>
  <si>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</si>
  <si>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</si>
  <si>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</si>
  <si>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</si>
  <si>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</si>
  <si>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</si>
  <si>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</si>
  <si>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</si>
  <si>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</si>
  <si>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</si>
  <si>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</si>
  <si>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</si>
  <si>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</si>
  <si>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</si>
  <si>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</si>
  <si>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</si>
  <si>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</si>
  <si>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</si>
  <si>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</si>
  <si>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</si>
  <si>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</si>
  <si>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</si>
  <si>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</si>
  <si>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</si>
  <si>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</si>
  <si>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</si>
  <si>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</si>
  <si>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</si>
  <si>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</si>
  <si>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</si>
  <si>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</si>
  <si>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</si>
  <si>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</si>
  <si>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</si>
  <si>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</si>
  <si>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</si>
  <si>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</si>
  <si>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</si>
  <si>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</si>
  <si>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</si>
  <si>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Production systems</t>
  </si>
  <si>
    <t>Crop types</t>
  </si>
  <si>
    <t>Organic fertiliser types</t>
  </si>
  <si>
    <t>Organic fertiliser type</t>
  </si>
  <si>
    <t>Pasture</t>
  </si>
  <si>
    <t>Manure - Cattle</t>
  </si>
  <si>
    <t>Grains</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</si>
  <si>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</si>
  <si>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</si>
  <si>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</si>
  <si>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</si>
  <si>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</si>
  <si>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</si>
  <si>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</si>
  <si>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</si>
  <si>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</si>
  <si>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</si>
  <si>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</si>
  <si>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</si>
  <si>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</si>
  <si>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</si>
  <si>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</si>
  <si>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</si>
  <si>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</si>
  <si>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</si>
  <si>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</si>
  <si>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</si>
  <si>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</si>
  <si>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</si>
  <si>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</si>
  <si>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</si>
  <si>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</si>
  <si>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</si>
  <si>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</si>
  <si>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</si>
  <si>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</si>
  <si>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</si>
  <si>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</si>
  <si>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</si>
  <si>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</si>
  <si>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</si>
  <si>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</si>
  <si>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</si>
  <si>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</si>
  <si>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</si>
  <si>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</si>
  <si>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</si>
  <si>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</si>
  <si>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</si>
  <si>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</si>
  <si>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</si>
  <si>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</si>
  <si>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</si>
  <si>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</si>
  <si>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</si>
  <si>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</si>
  <si>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</si>
  <si>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</si>
  <si>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</si>
  <si>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</si>
  <si>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</si>
  <si>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</si>
  <si>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</si>
  <si>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</si>
  <si>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</si>
  <si>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</si>
  <si>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</si>
  <si>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</si>
  <si>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</si>
  <si>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</si>
  <si>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</si>
  <si>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</si>
  <si>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</si>
  <si>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</si>
  <si>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</si>
  <si>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</si>
  <si>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</si>
  <si>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</si>
  <si>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</si>
  <si>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</si>
  <si>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</si>
  <si>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</si>
  <si>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</si>
  <si>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</si>
  <si>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</si>
  <si>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</si>
  <si>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</si>
  <si>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</si>
  <si>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</si>
  <si>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</si>
  <si>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</si>
  <si>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</si>
  <si>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Poultry Purchases</t>
  </si>
  <si>
    <t>⚠️ Livestock sales and purchases are not automatically reflected in the duration and head count tables - you will need to manually adjust head count, duration and average liveweight</t>
  </si>
  <si>
    <t>Quantity (head)</t>
  </si>
  <si>
    <t>Liveweight (kg/head) Method 1</t>
  </si>
  <si>
    <t>Liveweight (kg/head) Method 2</t>
  </si>
  <si>
    <t>Chooks from Carolyn</t>
  </si>
  <si>
    <t>Chicken</t>
  </si>
  <si>
    <t>Roosters from Raj</t>
  </si>
  <si>
    <t>Pullets</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</si>
  <si>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</si>
  <si>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</si>
  <si>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</si>
  <si>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</si>
  <si>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</si>
  <si>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</si>
  <si>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</si>
  <si>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</si>
  <si>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</si>
  <si>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</si>
  <si>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</si>
  <si>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</si>
  <si>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</si>
  <si>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</si>
  <si>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</si>
  <si>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</si>
  <si>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</si>
  <si>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</si>
  <si>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</si>
  <si>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</si>
  <si>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</si>
  <si>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</si>
  <si>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</si>
  <si>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</si>
  <si>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</si>
  <si>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</si>
  <si>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</si>
  <si>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</si>
  <si>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</si>
  <si>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</si>
  <si>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</si>
  <si>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</si>
  <si>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</si>
  <si>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</si>
  <si>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</si>
  <si>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</si>
  <si>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</si>
  <si>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</si>
  <si>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</si>
  <si>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</si>
  <si>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</si>
  <si>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</si>
  <si>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</si>
  <si>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</si>
  <si>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</si>
  <si>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</si>
  <si>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</si>
  <si>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</si>
  <si>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</si>
  <si>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</si>
  <si>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</si>
  <si>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</si>
  <si>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</si>
  <si>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</si>
  <si>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</si>
  <si>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</si>
  <si>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</si>
  <si>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</si>
  <si>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</si>
  <si>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</si>
  <si>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</si>
  <si>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</si>
  <si>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</si>
  <si>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</si>
  <si>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</si>
  <si>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</si>
  <si>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</si>
  <si>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</si>
  <si>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</si>
  <si>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</si>
  <si>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</si>
  <si>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</si>
  <si>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</si>
  <si>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</si>
  <si>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</si>
  <si>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</si>
  <si>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</si>
  <si>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</si>
  <si>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</si>
  <si>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</si>
  <si>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</si>
  <si>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</si>
  <si>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</si>
  <si>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</si>
  <si>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</si>
  <si>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</si>
  <si>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</si>
  <si>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</si>
  <si>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</si>
  <si>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</si>
  <si>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</si>
  <si>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</si>
  <si>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</si>
  <si>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</si>
  <si>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</si>
  <si>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</si>
  <si>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</si>
  <si>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</si>
  <si>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</si>
  <si>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</si>
  <si>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</si>
  <si>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</si>
  <si>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</si>
  <si>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</si>
  <si>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</si>
  <si>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</si>
  <si>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</si>
  <si>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</si>
  <si>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</si>
  <si>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</si>
  <si>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</si>
  <si>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</si>
  <si>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</si>
  <si>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</si>
  <si>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</si>
  <si>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</si>
  <si>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</si>
  <si>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</si>
  <si>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</si>
  <si>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</si>
  <si>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</si>
  <si>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</si>
  <si>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</si>
  <si>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</si>
  <si>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</si>
  <si>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</si>
  <si>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</si>
  <si>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</si>
  <si>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</si>
  <si>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</si>
  <si>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</si>
  <si>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</si>
  <si>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</si>
  <si>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</si>
  <si>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</si>
  <si>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</si>
  <si>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</si>
  <si>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</si>
  <si>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</si>
  <si>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</si>
  <si>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</si>
  <si>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</si>
  <si>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</si>
  <si>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</si>
  <si>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</si>
  <si>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</si>
  <si>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</si>
  <si>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</si>
  <si>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</si>
  <si>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</si>
  <si>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</si>
  <si>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</si>
  <si>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</si>
  <si>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</si>
  <si>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</si>
  <si>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</si>
  <si>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</si>
  <si>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</si>
  <si>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</si>
  <si>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</si>
  <si>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</si>
  <si>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</si>
  <si>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</si>
  <si>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</si>
  <si>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</si>
  <si>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</si>
  <si>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</si>
  <si>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</si>
  <si>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</si>
  <si>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</si>
  <si>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</si>
  <si>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</si>
  <si>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</si>
  <si>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</si>
  <si>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</si>
  <si>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</si>
  <si>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</si>
  <si>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</si>
  <si>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</si>
  <si>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</si>
  <si>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</si>
  <si>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</si>
  <si>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</si>
  <si>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</si>
  <si>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</si>
  <si>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</si>
  <si>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</si>
  <si>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</si>
  <si>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</si>
  <si>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</si>
  <si>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</si>
  <si>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Seed</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</si>
  <si>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</si>
  <si>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</si>
  <si>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</si>
  <si>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</si>
  <si>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</si>
  <si>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</si>
  <si>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</si>
  <si>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</si>
  <si>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</si>
  <si>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</si>
  <si>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</si>
  <si>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</si>
  <si>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</si>
  <si>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</si>
  <si>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</si>
  <si>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</si>
  <si>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</si>
  <si>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</si>
  <si>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</si>
  <si>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Table_ProductRegions_Beefcattle</t>
  </si>
  <si>
    <t>Category</t>
  </si>
  <si>
    <t>Region of origin</t>
  </si>
  <si>
    <t>Quantity Unit</t>
  </si>
  <si>
    <t>Emissions intensity</t>
  </si>
  <si>
    <t>System boundary</t>
  </si>
  <si>
    <t>Region</t>
  </si>
  <si>
    <t>Scope3 region</t>
  </si>
  <si>
    <t>GHGEI-MIAFF</t>
  </si>
  <si>
    <t>WA - South west</t>
  </si>
  <si>
    <t>WA - Pilbara</t>
  </si>
  <si>
    <t>WA - Kimberley</t>
  </si>
  <si>
    <t>NT - Alice Springs</t>
  </si>
  <si>
    <t>NT - Barkly</t>
  </si>
  <si>
    <t>NT - Northern</t>
  </si>
  <si>
    <t>QLD - High</t>
  </si>
  <si>
    <t>QLD - Moderate/High</t>
  </si>
  <si>
    <t>QLD - Moderate/Low</t>
  </si>
  <si>
    <t>QLD - Low</t>
  </si>
  <si>
    <t>Chemicals</t>
  </si>
  <si>
    <t>Inorganic fertilisers</t>
  </si>
  <si>
    <t>Quantity</t>
  </si>
  <si>
    <t>Other agricultural inputs</t>
  </si>
  <si>
    <t>Packaging</t>
  </si>
  <si>
    <t>Pesticides</t>
  </si>
  <si>
    <t>Soil ameliorants</t>
  </si>
  <si>
    <t>Fish feed and bait</t>
  </si>
  <si>
    <t>VEERG</t>
  </si>
  <si>
    <t>Constants - Livestock</t>
  </si>
  <si>
    <t>Symbol</t>
  </si>
  <si>
    <t>Manure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</si>
</sst>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 numFmtId="172" formatCode="[$-C09]d\ mmmm\ yyyy;@"/>
    <numFmt numFmtId="173" formatCode="0.00000"/>
    <numFmt numFmtId="174" formatCode="0.000000E+00"/>
  </numFmts>
  <fonts count="83"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0"/>
      <color theme="5" tint="-0.499984740745262"/>
      <name val="Arial"/>
      <family val="1"/>
    </font>
    <font>
      <b/>
      <sz val="20"/>
      <color theme="5" tint="-0.499984740745262"/>
      <name val="Arial"/>
      <family val="1"/>
    </font>
    <font>
      <b/>
      <sz val="10"/>
      <color theme="1" tint="0.499984740745262"/>
      <name val="Arial"/>
      <family val="1"/>
    </font>
    <font>
      <sz val="9"/>
      <color theme="1" tint="0.499984740745262"/>
      <name val="Arial"/>
      <family val="1"/>
    </font>
    <font>
      <b/>
      <vertAlign val="subscript"/>
      <sz val="10"/>
      <color rgb="FF183C1B"/>
      <name val="Arial"/>
      <family val="1"/>
    </font>
    <font>
      <b/>
      <vertAlign val="subscript"/>
      <sz val="14"/>
      <color theme="1" tint="0.24994659260841701"/>
      <name val="Arial"/>
      <family val="1"/>
    </font>
    <font>
      <vertAlign val="subscript"/>
      <sz val="10"/>
      <color theme="1" tint="0.24994659260841701"/>
      <name val="Arial"/>
      <family val="1"/>
    </font>
    <font>
      <i/>
      <sz val="10"/>
      <color rgb="FF0070C0"/>
      <name val="Arial"/>
      <family val="1"/>
    </font>
    <font>
      <b/>
      <vertAlign val="subscript"/>
      <sz val="10"/>
      <color theme="1" tint="0.24994659260841701"/>
      <name val="Arial"/>
      <family val="1"/>
    </font>
    <font>
      <b/>
      <sz val="10"/>
      <color theme="1"/>
      <name val="Arial"/>
      <family val="2"/>
    </font>
    <font>
      <sz val="9"/>
      <color theme="1"/>
      <name val="Arial"/>
      <family val="2"/>
    </font>
    <font>
      <sz val="9"/>
      <name val="Arial"/>
      <family val="1"/>
    </font>
    <font>
      <b/>
      <vertAlign val="subscript"/>
      <sz val="10"/>
      <color rgb="FF533001"/>
      <name val="Arial"/>
      <family val="1"/>
    </font>
    <font>
      <b/>
      <sz val="9"/>
      <color theme="1" tint="0.34998626667073579"/>
      <name val="Arial"/>
      <family val="1"/>
    </font>
    <font>
      <sz val="14"/>
      <name val="Arial"/>
      <family val="1"/>
    </font>
    <font>
      <b/>
      <sz val="9"/>
      <name val="Arial"/>
      <family val="1"/>
    </font>
    <font>
      <sz val="10"/>
      <name val="Arial"/>
      <family val="1"/>
    </font>
    <font>
      <b/>
      <sz val="9"/>
      <color theme="1" tint="0.14999847407452621"/>
      <name val="Arial"/>
      <family val="1"/>
    </font>
    <font>
      <b/>
      <i/>
      <sz val="10"/>
      <color rgb="FFCC6600"/>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29">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bottom/>
      <diagonal/>
    </border>
    <border>
      <left/>
      <right/>
      <top style="thin">
        <color theme="0" tint="-0.499984740745262"/>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4" fillId="0" borderId="0"/>
    <xf numFmtId="0" fontId="75" fillId="4" borderId="0">
      <alignment horizontal="left" vertical="center"/>
    </xf>
    <xf numFmtId="0" fontId="38" fillId="16" borderId="2">
      <alignment horizontal="center" vertical="center"/>
    </xf>
  </cellStyleXfs>
  <cellXfs count="256">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xf numFmtId="0" fontId="9" fillId="0" borderId="0" xfId="55"/>
    <xf numFmtId="0" fontId="55" fillId="6" borderId="0" xfId="29" applyFont="1" applyProtection="1">
      <alignment horizontal="center" vertical="center"/>
    </xf>
    <xf numFmtId="0" fontId="20" fillId="5" borderId="0" xfId="36">
      <alignment horizontal="left" vertical="center" indent="1"/>
    </xf>
    <xf numFmtId="0" fontId="12" fillId="6" borderId="0" xfId="28">
      <alignment horizontal="left" vertical="center" indent="1"/>
    </xf>
    <xf numFmtId="0" fontId="40" fillId="4" borderId="0" xfId="8" applyFont="1" applyAlignment="1">
      <alignment horizontal="left" vertical="center" indent="3"/>
    </xf>
    <xf numFmtId="0" fontId="27" fillId="4" borderId="0" xfId="8" applyAlignment="1">
      <alignment horizontal="left" vertical="center" indent="3"/>
    </xf>
    <xf numFmtId="9" fontId="23" fillId="4" borderId="2" xfId="68" applyFont="1" applyFill="1" applyBorder="1" applyAlignment="1">
      <alignment horizontal="center" vertical="center"/>
    </xf>
    <xf numFmtId="0" fontId="56" fillId="4" borderId="0" xfId="59" applyFont="1" applyAlignment="1">
      <alignment horizontal="left" vertical="center" indent="6"/>
    </xf>
    <xf numFmtId="0" fontId="12" fillId="6" borderId="0" xfId="28" applyAlignment="1">
      <alignment horizontal="left" vertical="center" indent="6"/>
    </xf>
    <xf numFmtId="0" fontId="56" fillId="4" borderId="0" xfId="59" applyFont="1">
      <alignment horizontal="left" vertical="center"/>
    </xf>
    <xf numFmtId="0" fontId="40" fillId="4" borderId="0" xfId="8" applyFont="1" applyAlignment="1">
      <alignment horizontal="left" vertical="center" indent="9"/>
    </xf>
    <xf numFmtId="0" fontId="27" fillId="4" borderId="0" xfId="8" applyAlignment="1">
      <alignment horizontal="center" vertical="center"/>
    </xf>
    <xf numFmtId="0" fontId="27" fillId="4" borderId="0" xfId="8" applyAlignment="1">
      <alignment horizontal="left" vertical="center" indent="9"/>
    </xf>
    <xf numFmtId="0" fontId="27" fillId="4" borderId="0" xfId="8" applyAlignment="1">
      <alignment horizontal="left" vertical="center" indent="6"/>
    </xf>
    <xf numFmtId="0" fontId="15" fillId="4" borderId="0" xfId="24">
      <alignment horizontal="left" vertical="center"/>
    </xf>
    <xf numFmtId="0" fontId="23" fillId="4" borderId="2" xfId="63">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20" fillId="8" borderId="0" xfId="37">
      <alignment horizontal="left" vertical="center" indent="1"/>
    </xf>
    <xf numFmtId="0" fontId="32" fillId="4" borderId="0" xfId="57">
      <alignment horizontal="left" vertical="center"/>
    </xf>
    <xf numFmtId="0" fontId="33" fillId="4" borderId="0" xfId="58">
      <alignment horizontal="left" vertical="center"/>
    </xf>
    <xf numFmtId="0" fontId="5" fillId="2" borderId="0" xfId="9">
      <alignment horizontal="center" vertical="center"/>
    </xf>
    <xf numFmtId="0" fontId="27" fillId="4" borderId="18" xfId="8" applyBorder="1">
      <alignment horizontal="left" vertical="center"/>
    </xf>
    <xf numFmtId="0" fontId="23" fillId="4" borderId="19" xfId="63" applyBorder="1">
      <alignment horizontal="left" vertical="center"/>
    </xf>
    <xf numFmtId="0" fontId="23" fillId="4" borderId="20" xfId="63" applyBorder="1">
      <alignment horizontal="left" vertical="center"/>
    </xf>
    <xf numFmtId="0" fontId="57" fillId="4" borderId="0" xfId="8" applyFont="1">
      <alignment horizontal="left" vertical="center"/>
    </xf>
    <xf numFmtId="0" fontId="58" fillId="4" borderId="0" xfId="8" applyFont="1">
      <alignment horizontal="left" vertical="center"/>
    </xf>
    <xf numFmtId="0" fontId="23" fillId="4" borderId="2" xfId="52" applyAlignment="1">
      <alignment horizontal="left" vertical="center"/>
    </xf>
    <xf numFmtId="0" fontId="32" fillId="4" borderId="0" xfId="8" applyFont="1">
      <alignment horizontal="left" vertical="center"/>
    </xf>
    <xf numFmtId="0" fontId="33" fillId="4" borderId="0" xfId="8" applyFont="1">
      <alignment horizontal="left" vertical="center"/>
    </xf>
    <xf numFmtId="0" fontId="23" fillId="4" borderId="19" xfId="52" applyBorder="1" applyAlignment="1">
      <alignment horizontal="left" vertical="center"/>
    </xf>
    <xf numFmtId="0" fontId="23" fillId="4" borderId="21" xfId="52" applyBorder="1">
      <alignment horizontal="center" vertical="center"/>
    </xf>
    <xf numFmtId="0" fontId="30" fillId="13" borderId="11" xfId="39" applyBorder="1">
      <alignment horizontal="left" vertical="center"/>
    </xf>
    <xf numFmtId="0" fontId="30" fillId="13" borderId="22" xfId="39" applyBorder="1">
      <alignment horizontal="left" vertical="center"/>
    </xf>
    <xf numFmtId="0" fontId="30" fillId="13" borderId="0" xfId="39" applyBorder="1">
      <alignment horizontal="left" vertical="center"/>
    </xf>
    <xf numFmtId="0" fontId="30" fillId="13" borderId="23" xfId="39" applyBorder="1">
      <alignment horizontal="left" vertical="center"/>
    </xf>
    <xf numFmtId="0" fontId="0" fillId="0" borderId="1" xfId="0" applyBorder="1"/>
    <xf numFmtId="0" fontId="23" fillId="4" borderId="21" xfId="63" applyBorder="1">
      <alignment horizontal="left" vertical="center"/>
    </xf>
    <xf numFmtId="0" fontId="0" fillId="0" borderId="0" xfId="1" applyFont="1" applyFill="1">
      <alignment horizontal="left" vertical="center" indent="1"/>
      <protection locked="0"/>
    </xf>
    <xf numFmtId="4" fontId="2" fillId="0" borderId="2" xfId="17">
      <alignment horizontal="center" vertical="center"/>
    </xf>
    <xf numFmtId="166" fontId="23" fillId="4" borderId="2" xfId="45">
      <alignment horizontal="center" vertical="center"/>
    </xf>
    <xf numFmtId="0" fontId="0" fillId="0" borderId="0" xfId="0" applyAlignment="1">
      <alignment wrapText="1"/>
    </xf>
    <xf numFmtId="172" fontId="0" fillId="0" borderId="0" xfId="8" applyNumberFormat="1" applyFont="1" applyFill="1">
      <alignment horizontal="left" vertical="center"/>
    </xf>
    <xf numFmtId="0" fontId="27" fillId="4" borderId="0" xfId="8" applyAlignment="1">
      <alignment horizontal="left" vertical="center" wrapText="1"/>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5" fillId="0" borderId="0" xfId="0" applyFont="1" applyAlignment="1">
      <alignment vertical="center"/>
    </xf>
    <xf numFmtId="0" fontId="0" fillId="0" borderId="0" xfId="0"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66" fillId="4" borderId="0" xfId="0" applyFont="1" applyFill="1"/>
    <xf numFmtId="0" fontId="26" fillId="4" borderId="0" xfId="48" applyAlignment="1">
      <alignment horizontal="left" vertical="center"/>
    </xf>
    <xf numFmtId="4" fontId="23" fillId="4" borderId="2" xfId="46">
      <alignment horizontal="center" vertical="center"/>
    </xf>
    <xf numFmtId="173" fontId="68"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8"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4" xfId="52" applyBorder="1">
      <alignment horizontal="center" vertical="center"/>
    </xf>
    <xf numFmtId="0" fontId="23" fillId="4" borderId="25" xfId="52" applyBorder="1">
      <alignment horizontal="center" vertical="center"/>
    </xf>
    <xf numFmtId="4" fontId="23" fillId="4" borderId="24" xfId="46" applyBorder="1">
      <alignment horizontal="center" vertical="center"/>
    </xf>
    <xf numFmtId="4" fontId="23" fillId="4" borderId="26" xfId="46" applyBorder="1">
      <alignment horizontal="center" vertical="center"/>
    </xf>
    <xf numFmtId="173" fontId="68" fillId="4" borderId="26" xfId="52" applyNumberFormat="1" applyFont="1" applyBorder="1">
      <alignment horizontal="center" vertical="center"/>
    </xf>
    <xf numFmtId="173" fontId="68" fillId="4" borderId="24" xfId="52" applyNumberFormat="1" applyFont="1" applyBorder="1">
      <alignment horizontal="center" vertical="center"/>
    </xf>
    <xf numFmtId="0" fontId="23" fillId="4" borderId="26" xfId="52" applyBorder="1">
      <alignment horizontal="center" vertical="center"/>
    </xf>
    <xf numFmtId="0" fontId="68" fillId="4" borderId="26" xfId="52" applyFont="1" applyBorder="1">
      <alignment horizontal="center" vertical="center"/>
    </xf>
    <xf numFmtId="0" fontId="3" fillId="4" borderId="18" xfId="7" applyBorder="1">
      <alignment horizontal="left" vertical="center"/>
    </xf>
    <xf numFmtId="165" fontId="66" fillId="4" borderId="18" xfId="0" applyNumberFormat="1" applyFont="1" applyFill="1" applyBorder="1"/>
    <xf numFmtId="0" fontId="6" fillId="4" borderId="18" xfId="12" applyBorder="1">
      <alignment horizontal="left" vertical="center" indent="1"/>
    </xf>
    <xf numFmtId="168" fontId="66" fillId="4" borderId="0" xfId="0" applyNumberFormat="1" applyFont="1" applyFill="1" applyAlignment="1">
      <alignment vertical="center"/>
    </xf>
    <xf numFmtId="165" fontId="66" fillId="4" borderId="18" xfId="0" applyNumberFormat="1" applyFont="1" applyFill="1" applyBorder="1" applyAlignment="1">
      <alignment vertical="center"/>
    </xf>
    <xf numFmtId="0" fontId="66" fillId="4" borderId="0" xfId="0" applyFont="1" applyFill="1" applyAlignment="1">
      <alignment vertical="center"/>
    </xf>
    <xf numFmtId="165" fontId="69" fillId="4" borderId="18" xfId="0" applyNumberFormat="1" applyFont="1" applyFill="1" applyBorder="1" applyAlignment="1">
      <alignment vertical="center"/>
    </xf>
    <xf numFmtId="168" fontId="68" fillId="4" borderId="2" xfId="46" applyNumberFormat="1" applyFont="1">
      <alignment horizontal="center" vertical="center"/>
    </xf>
    <xf numFmtId="168" fontId="68" fillId="4" borderId="17" xfId="46" applyNumberFormat="1" applyFont="1" applyBorder="1">
      <alignment horizontal="center" vertical="center"/>
    </xf>
    <xf numFmtId="168" fontId="68" fillId="4" borderId="26" xfId="46" applyNumberFormat="1" applyFont="1" applyBorder="1">
      <alignment horizontal="center" vertical="center"/>
    </xf>
    <xf numFmtId="0" fontId="65" fillId="0" borderId="0" xfId="0" applyFont="1" applyAlignment="1">
      <alignment vertical="center" wrapText="1"/>
    </xf>
    <xf numFmtId="0" fontId="65" fillId="0" borderId="0" xfId="0" applyFont="1" applyAlignment="1">
      <alignment horizontal="left" vertical="center"/>
    </xf>
    <xf numFmtId="0" fontId="65"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5" fillId="4" borderId="0" xfId="0" applyFont="1" applyFill="1" applyAlignment="1">
      <alignment horizontal="left" vertical="center"/>
    </xf>
    <xf numFmtId="0" fontId="40" fillId="4" borderId="0" xfId="8" applyFont="1" applyAlignment="1">
      <alignment horizontal="right" vertical="center"/>
    </xf>
    <xf numFmtId="0" fontId="70" fillId="4" borderId="0" xfId="0" applyFont="1" applyFill="1"/>
    <xf numFmtId="0" fontId="65" fillId="0" borderId="0" xfId="0" applyFont="1"/>
    <xf numFmtId="0" fontId="65" fillId="0" borderId="0" xfId="7" applyFont="1" applyFill="1">
      <alignment horizontal="left" vertical="center"/>
    </xf>
    <xf numFmtId="0" fontId="65" fillId="4" borderId="0" xfId="0" applyFont="1" applyFill="1"/>
    <xf numFmtId="0" fontId="65" fillId="4" borderId="0" xfId="7" applyFont="1">
      <alignment horizontal="left" vertical="center"/>
    </xf>
    <xf numFmtId="0" fontId="71" fillId="4" borderId="0" xfId="0" applyFont="1" applyFill="1" applyAlignment="1">
      <alignment horizontal="center" vertical="center"/>
    </xf>
    <xf numFmtId="0" fontId="71"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71" fillId="4" borderId="0" xfId="67" applyNumberFormat="1" applyFont="1" applyFill="1" applyBorder="1" applyAlignment="1" applyProtection="1">
      <alignment horizontal="center" wrapText="1"/>
      <protection locked="0"/>
    </xf>
    <xf numFmtId="1" fontId="71" fillId="4" borderId="0" xfId="67" applyNumberFormat="1" applyFont="1" applyFill="1" applyBorder="1" applyAlignment="1" applyProtection="1">
      <alignment horizontal="center" wrapText="1"/>
      <protection locked="0"/>
    </xf>
    <xf numFmtId="0" fontId="71" fillId="4" borderId="0" xfId="0" applyFont="1" applyFill="1" applyAlignment="1">
      <alignment horizontal="left" wrapText="1"/>
    </xf>
    <xf numFmtId="0" fontId="71" fillId="4" borderId="0" xfId="0" applyFont="1" applyFill="1" applyAlignment="1">
      <alignment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72"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72" fillId="12" borderId="2" xfId="15" applyFont="1">
      <alignment horizontal="center" vertical="center"/>
    </xf>
    <xf numFmtId="9" fontId="0" fillId="0" borderId="27" xfId="68" applyFont="1" applyFill="1" applyBorder="1" applyAlignment="1">
      <alignment horizontal="center" vertical="center" wrapText="1"/>
    </xf>
    <xf numFmtId="4" fontId="9" fillId="0" borderId="2" xfId="17" applyFont="1" applyAlignment="1">
      <alignment horizontal="center" vertical="center" wrapText="1"/>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30" fillId="13" borderId="5" xfId="39">
      <alignment horizontal="left" vertical="center"/>
    </xf>
    <xf numFmtId="0" fontId="6" fillId="4" borderId="0" xfId="12" applyAlignment="1">
      <alignment horizontal="center" vertical="center"/>
    </xf>
    <xf numFmtId="0" fontId="23" fillId="4" borderId="20" xfId="52" applyBorder="1" applyAlignment="1">
      <alignment horizontal="left" vertical="center"/>
    </xf>
    <xf numFmtId="0" fontId="23" fillId="4" borderId="21" xfId="52" applyBorder="1" applyAlignment="1">
      <alignment horizontal="left" vertical="center"/>
    </xf>
    <xf numFmtId="0" fontId="23" fillId="4" borderId="20" xfId="52" applyBorder="1">
      <alignment horizontal="center" vertical="center"/>
    </xf>
    <xf numFmtId="174"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9" fontId="23" fillId="4" borderId="2" xfId="52" applyNumberFormat="1">
      <alignment horizontal="center" vertical="center"/>
    </xf>
    <xf numFmtId="0" fontId="6" fillId="4" borderId="1" xfId="12" applyBorder="1">
      <alignment horizontal="left" vertical="center" indent="1"/>
    </xf>
    <xf numFmtId="0" fontId="27" fillId="4" borderId="28" xfId="8" applyBorder="1">
      <alignment horizontal="left" vertical="center"/>
    </xf>
    <xf numFmtId="3" fontId="23" fillId="4" borderId="2" xfId="52" applyNumberFormat="1">
      <alignment horizontal="center" vertical="center"/>
    </xf>
    <xf numFmtId="0" fontId="54" fillId="4" borderId="1" xfId="12" applyFont="1" applyBorder="1">
      <alignment horizontal="left" vertical="center" indent="1"/>
    </xf>
    <xf numFmtId="0" fontId="5" fillId="2" borderId="0" xfId="9" applyAlignment="1">
      <alignment horizontal="center" vertical="center" wrapText="1"/>
    </xf>
    <xf numFmtId="0" fontId="5" fillId="2" borderId="0" xfId="1" applyAlignment="1">
      <alignment horizontal="center" vertical="center"/>
      <protection locked="0"/>
    </xf>
    <xf numFmtId="0" fontId="0" fillId="0" borderId="0" xfId="0" applyAlignment="1">
      <alignment vertical="center" wrapText="1"/>
    </xf>
    <xf numFmtId="0" fontId="64" fillId="2" borderId="0" xfId="8" applyFont="1" applyFill="1">
      <alignment horizontal="left" vertical="center"/>
    </xf>
    <xf numFmtId="0" fontId="64" fillId="0" borderId="0" xfId="8" applyFont="1" applyFill="1">
      <alignment horizontal="left" vertical="center"/>
    </xf>
    <xf numFmtId="0" fontId="74" fillId="4" borderId="0" xfId="69" applyFill="1"/>
    <xf numFmtId="0" fontId="0" fillId="0" borderId="0" xfId="8" applyFont="1" applyFill="1" applyAlignment="1">
      <alignment horizontal="left" vertical="center" wrapText="1"/>
    </xf>
    <xf numFmtId="0" fontId="74" fillId="0" borderId="0" xfId="69"/>
    <xf numFmtId="0" fontId="2" fillId="0" borderId="17" xfId="56" applyBorder="1">
      <alignment horizontal="center" vertical="center"/>
    </xf>
    <xf numFmtId="0" fontId="0" fillId="0" borderId="0" xfId="29" applyFont="1" applyFill="1" applyProtection="1">
      <alignment horizontal="center" vertical="center"/>
    </xf>
    <xf numFmtId="0" fontId="75" fillId="4" borderId="0" xfId="70">
      <alignment horizontal="left" vertical="center"/>
    </xf>
    <xf numFmtId="0" fontId="71" fillId="4" borderId="0" xfId="69" applyFont="1" applyFill="1" applyAlignment="1" applyProtection="1">
      <alignment horizontal="center"/>
      <protection locked="0"/>
    </xf>
    <xf numFmtId="0" fontId="71" fillId="4" borderId="0" xfId="69"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6" borderId="2" xfId="71">
      <alignment horizontal="center" vertical="center"/>
    </xf>
    <xf numFmtId="0" fontId="64" fillId="6" borderId="0" xfId="8" applyFont="1" applyFill="1">
      <alignment horizontal="left" vertical="center"/>
    </xf>
    <xf numFmtId="0" fontId="68" fillId="4" borderId="2" xfId="52" applyFont="1">
      <alignment horizontal="center" vertical="center"/>
    </xf>
    <xf numFmtId="49" fontId="23" fillId="4" borderId="2" xfId="52" applyNumberFormat="1">
      <alignment horizontal="center" vertical="center"/>
    </xf>
    <xf numFmtId="0" fontId="78"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36DC4778-5C0C-43C8-A851-41A1ED6B5256}"/>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41EB5C33-1C2E-4B2F-9BA3-DBA8E02BE1E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8251A047-0151-4D47-A1EB-A7DE00E515D4}"/>
    <cellStyle name="Variable type other" xfId="64" xr:uid="{105BD9DE-B567-4DA0-87E6-C60A0ECC1C65}"/>
  </cellStyles>
  <dxfs count="45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diagonalUp="0" diagonalDown="0">
        <left style="thin">
          <color theme="0" tint="-0.34998626667073579"/>
        </left>
        <right style="thin">
          <color theme="0" tint="-0.34998626667073579"/>
        </right>
        <top style="thin">
          <color theme="0" tint="-0.34998626667073579"/>
        </top>
        <bottom/>
        <vertical/>
        <horizontal/>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50"/>
      <tableStyleElement type="headerRow" dxfId="449"/>
      <tableStyleElement type="totalRow" dxfId="448"/>
      <tableStyleElement type="firstColumn" dxfId="447"/>
      <tableStyleElement type="firstRowStripe" dxfId="446"/>
      <tableStyleElement type="secondRowStripe" dxfId="445"/>
    </tableStyle>
    <tableStyle name="Equation table" pivot="0" count="6" xr9:uid="{B247698E-E41D-4CCD-AA0A-C14817E9DE65}">
      <tableStyleElement type="wholeTable" dxfId="444"/>
      <tableStyleElement type="headerRow" dxfId="443"/>
      <tableStyleElement type="totalRow" dxfId="442"/>
      <tableStyleElement type="firstColumn" dxfId="441"/>
      <tableStyleElement type="firstRowStripe" dxfId="440"/>
      <tableStyleElement type="secondRowStripe" dxfId="439"/>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sheetMetadata" Target="metadata.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06/relationships/rdRichValueStructure" Target="richData/rdrichvaluestructure.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56" Type="http://schemas.openxmlformats.org/officeDocument/2006/relationships/customXml" Target="../customXml/item1.xml"/><Relationship Id="rId8" Type="http://schemas.openxmlformats.org/officeDocument/2006/relationships/worksheet" Target="worksheets/sheet8.xml"/><Relationship Id="rId51"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5-CF9E-45FD-98BF-ACD51C794B3C}"/>
              </c:ext>
            </c:extLst>
          </c:dPt>
          <c:cat>
            <c:strRef>
              <c:f>'Results - Activity period'!$D$9:$D$22</c:f>
              <c:strCache>
                <c:ptCount val="14"/>
                <c:pt idx="0">
                  <c:v>4.6.1.1-2 Manure Methane </c:v>
                </c:pt>
                <c:pt idx="1">
                  <c:v>4.6.1.3-4 Manure Direct N20 </c:v>
                </c:pt>
                <c:pt idx="2">
                  <c:v>4.6.1.5-6 Manure Atmospheric Deposition</c:v>
                </c:pt>
                <c:pt idx="3">
                  <c:v>4.6.1.7-8 Manure Leaching and runoff</c:v>
                </c:pt>
                <c:pt idx="4">
                  <c:v>4.6.1.10-11 Soil direct N2O</c:v>
                </c:pt>
                <c:pt idx="5">
                  <c:v>4.6.1.12-13 Soil atmos dep</c:v>
                </c:pt>
                <c:pt idx="6">
                  <c:v>4.6.1.14-15 Soil leach runoff</c:v>
                </c:pt>
                <c:pt idx="7">
                  <c:v>8.1.1.1-2 Transport fuel CO2</c:v>
                </c:pt>
                <c:pt idx="8">
                  <c:v>8.1.1.1-2 Transport fuel CH4</c:v>
                </c:pt>
                <c:pt idx="9">
                  <c:v>8.1.1.1-2 Transport fuel N2O</c:v>
                </c:pt>
                <c:pt idx="10">
                  <c:v>8.2.1.1-2 Stationary fuel CO2</c:v>
                </c:pt>
                <c:pt idx="11">
                  <c:v>8.2.1.1-2 Stationary fuel CH4</c:v>
                </c:pt>
                <c:pt idx="12">
                  <c:v>8.2.1.1-2 Stationary fuel N2O</c:v>
                </c:pt>
                <c:pt idx="13">
                  <c:v>10.1.1-2 Solid waste treatment</c:v>
                </c:pt>
              </c:strCache>
            </c:strRef>
          </c:cat>
          <c:val>
            <c:numRef>
              <c:f>'Results - Activity period'!$I$9:$I$22</c:f>
              <c:numCache>
                <c:formatCode>General</c:formatCode>
                <c:ptCount val="14"/>
                <c:pt idx="0">
                  <c:v>0.53888417959369728</c:v>
                </c:pt>
                <c:pt idx="1">
                  <c:v>0.15283863010491425</c:v>
                </c:pt>
                <c:pt idx="2">
                  <c:v>6.0625482787584034E-2</c:v>
                </c:pt>
                <c:pt idx="3">
                  <c:v>9.2096274188159999E-4</c:v>
                </c:pt>
                <c:pt idx="4">
                  <c:v>6.2100493714285721E-2</c:v>
                </c:pt>
                <c:pt idx="5">
                  <c:v>4.5643862879999999E-3</c:v>
                </c:pt>
                <c:pt idx="6">
                  <c:v>6.8310543085714286E-4</c:v>
                </c:pt>
                <c:pt idx="7">
                  <c:v>0.19906000000000001</c:v>
                </c:pt>
                <c:pt idx="8">
                  <c:v>16.366</c:v>
                </c:pt>
                <c:pt idx="9">
                  <c:v>7703.7620000000006</c:v>
                </c:pt>
                <c:pt idx="10">
                  <c:v>7.2400000000000006E-2</c:v>
                </c:pt>
                <c:pt idx="11">
                  <c:v>1.9992000000000001</c:v>
                </c:pt>
                <c:pt idx="12">
                  <c:v>116289.43325</c:v>
                </c:pt>
                <c:pt idx="13">
                  <c:v>438.82805000000002</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period'!$D$36:$D$46</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15.12.1.1 Purchased electricity (Location-based)</c:v>
                </c:pt>
                <c:pt idx="8">
                  <c:v>15.13.1.1 Waste sent to treatment facility</c:v>
                </c:pt>
                <c:pt idx="9">
                  <c:v>15.14.1.1 Incoming freight</c:v>
                </c:pt>
                <c:pt idx="10">
                  <c:v>15.14.1.1 Outgoing freight</c:v>
                </c:pt>
              </c:strCache>
            </c:strRef>
          </c:cat>
          <c:val>
            <c:numRef>
              <c:f>'Results - Activity period'!$I$36:$I$46</c:f>
              <c:numCache>
                <c:formatCode>General</c:formatCode>
                <c:ptCount val="11"/>
                <c:pt idx="0">
                  <c:v>0</c:v>
                </c:pt>
                <c:pt idx="1">
                  <c:v>0.78505200000000008</c:v>
                </c:pt>
                <c:pt idx="2">
                  <c:v>1.1000000000000001</c:v>
                </c:pt>
                <c:pt idx="3">
                  <c:v>0.5</c:v>
                </c:pt>
                <c:pt idx="4">
                  <c:v>1.5636000000000001E-2</c:v>
                </c:pt>
                <c:pt idx="5">
                  <c:v>4000</c:v>
                </c:pt>
                <c:pt idx="6">
                  <c:v>26.794</c:v>
                </c:pt>
                <c:pt idx="7">
                  <c:v>2.7</c:v>
                </c:pt>
                <c:pt idx="8">
                  <c:v>441.15000000000003</c:v>
                </c:pt>
                <c:pt idx="9">
                  <c:v>5166.2</c:v>
                </c:pt>
                <c:pt idx="10">
                  <c:v>676</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5" Type="http://schemas.openxmlformats.org/officeDocument/2006/relationships/image" Target="../media/image4.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46</xdr:row>
      <xdr:rowOff>200025</xdr:rowOff>
    </xdr:from>
    <xdr:to>
      <xdr:col>9</xdr:col>
      <xdr:colOff>1443037</xdr:colOff>
      <xdr:row>58</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263.7642373</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199.9044023</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215.6536404</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263.7642373</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689180"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689180"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689180"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689180"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689180"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689180"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689180"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689180"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5">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199.9044023</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215.6536404</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851327-1FB9-4A63-8F10-A94CCCBA0067}"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03962E4-A836-4FA9-BB10-880CFFC16D77}" type="TxLink">
            <a:rPr lang="en-US" sz="2600" b="1" i="0" u="none" strike="noStrike">
              <a:solidFill>
                <a:srgbClr val="0C769E"/>
              </a:solidFill>
              <a:latin typeface="Arial"/>
              <a:ea typeface="+mn-ea"/>
              <a:cs typeface="Arial"/>
            </a:rPr>
            <a:pPr marL="0" indent="0"/>
            <a:t>263.7642373</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956E299-F16B-458E-B683-AA1917292255}" type="TxLink">
            <a:rPr lang="en-US" sz="2600" b="1" i="0" u="none" strike="noStrike">
              <a:solidFill>
                <a:srgbClr val="4F4789"/>
              </a:solidFill>
              <a:latin typeface="Arial"/>
              <a:ea typeface="+mn-ea"/>
              <a:cs typeface="Arial"/>
            </a:rPr>
            <a:pPr marL="0" indent="0"/>
            <a:t>9995.220117</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C43DCE5-DF98-499D-979B-E75843FD1E2F}" type="TxLink">
            <a:rPr lang="en-US" sz="2600" b="1" i="0" u="none" strike="noStrike">
              <a:solidFill>
                <a:srgbClr val="4F4789"/>
              </a:solidFill>
              <a:latin typeface="Arial"/>
              <a:ea typeface="+mn-ea"/>
              <a:cs typeface="Arial"/>
            </a:rPr>
            <a:pPr marL="0" indent="0"/>
            <a:t>10782.68202</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0ABB662-5EEC-40EE-9C89-5AE4A9E7D29C}"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238A81-1112-4210-9014-FD7E952D0919}" type="TxLink">
            <a:rPr lang="en-US" sz="2600" b="1" i="0" u="none" strike="noStrike">
              <a:solidFill>
                <a:srgbClr val="0C769E"/>
              </a:solidFill>
              <a:latin typeface="Arial"/>
              <a:ea typeface="+mn-ea"/>
              <a:cs typeface="Arial"/>
            </a:rPr>
            <a:pPr marL="0" indent="0"/>
            <a:t>263.7642373</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657698"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657698"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16</xdr:row>
      <xdr:rowOff>49306</xdr:rowOff>
    </xdr:from>
    <xdr:ext cx="1657698"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12</xdr:col>
      <xdr:colOff>593912</xdr:colOff>
      <xdr:row>16</xdr:row>
      <xdr:rowOff>49306</xdr:rowOff>
    </xdr:from>
    <xdr:ext cx="1657698"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657698"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9</xdr:col>
      <xdr:colOff>913279</xdr:colOff>
      <xdr:row>28</xdr:row>
      <xdr:rowOff>38660</xdr:rowOff>
    </xdr:from>
    <xdr:ext cx="1657698"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28</xdr:row>
      <xdr:rowOff>38660</xdr:rowOff>
    </xdr:from>
    <xdr:ext cx="1657698"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657698"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CA4F8D1-429B-4188-AF17-C4AD268BD823}" type="TxLink">
            <a:rPr lang="en-US" sz="2600" b="1" i="0" u="none" strike="noStrike">
              <a:solidFill>
                <a:srgbClr val="4F4789"/>
              </a:solidFill>
              <a:latin typeface="Arial"/>
              <a:ea typeface="+mn-ea"/>
              <a:cs typeface="Arial"/>
            </a:rPr>
            <a:pPr marL="0" indent="0"/>
            <a:t>9995.220117</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ED81DA0-9416-474F-AB3E-B51EE35B43F3}" type="TxLink">
            <a:rPr lang="en-US" sz="2600" b="1" i="0" u="none" strike="noStrike">
              <a:solidFill>
                <a:srgbClr val="4F4789"/>
              </a:solidFill>
              <a:latin typeface="Arial"/>
              <a:ea typeface="+mn-ea"/>
              <a:cs typeface="Arial"/>
            </a:rPr>
            <a:pPr marL="0" indent="0"/>
            <a:t>10782.68202</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Birds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6669" b="6669"/>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Eggs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615" r="5615"/>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46</xdr:row>
      <xdr:rowOff>200025</xdr:rowOff>
    </xdr:from>
    <xdr:to>
      <xdr:col>9</xdr:col>
      <xdr:colOff>1443037</xdr:colOff>
      <xdr:row>58</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133350</xdr:colOff>
      <xdr:row>14</xdr:row>
      <xdr:rowOff>61632</xdr:rowOff>
    </xdr:from>
    <xdr:to>
      <xdr:col>20</xdr:col>
      <xdr:colOff>174252</xdr:colOff>
      <xdr:row>16</xdr:row>
      <xdr:rowOff>135030</xdr:rowOff>
    </xdr:to>
    <xdr:sp macro="" textlink="$H$48">
      <xdr:nvSpPr>
        <xdr:cNvPr id="79" name="TextBox 78">
          <a:extLst>
            <a:ext uri="{FF2B5EF4-FFF2-40B4-BE49-F238E27FC236}">
              <a16:creationId xmlns:a16="http://schemas.microsoft.com/office/drawing/2014/main" id="{855629CC-AB7A-4126-BACA-EC62583055F4}"/>
            </a:ext>
          </a:extLst>
        </xdr:cNvPr>
        <xdr:cNvSpPr txBox="1"/>
      </xdr:nvSpPr>
      <xdr:spPr>
        <a:xfrm>
          <a:off x="27127200" y="2985807"/>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26</xdr:col>
      <xdr:colOff>328332</xdr:colOff>
      <xdr:row>14</xdr:row>
      <xdr:rowOff>33057</xdr:rowOff>
    </xdr:from>
    <xdr:to>
      <xdr:col>29</xdr:col>
      <xdr:colOff>410134</xdr:colOff>
      <xdr:row>16</xdr:row>
      <xdr:rowOff>135030</xdr:rowOff>
    </xdr:to>
    <xdr:sp macro="" textlink="$I$48">
      <xdr:nvSpPr>
        <xdr:cNvPr id="80" name="TextBox 79">
          <a:extLst>
            <a:ext uri="{FF2B5EF4-FFF2-40B4-BE49-F238E27FC236}">
              <a16:creationId xmlns:a16="http://schemas.microsoft.com/office/drawing/2014/main" id="{DC24B842-A820-437C-BC5B-F1C0DB7F632C}"/>
            </a:ext>
          </a:extLst>
        </xdr:cNvPr>
        <xdr:cNvSpPr txBox="1"/>
      </xdr:nvSpPr>
      <xdr:spPr>
        <a:xfrm>
          <a:off x="32808582" y="2957232"/>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263.7642373</a:t>
          </a:fld>
          <a:endParaRPr lang="en-AU" sz="2600" b="1" i="0" u="none" strike="noStrike">
            <a:solidFill>
              <a:srgbClr val="0C769E"/>
            </a:solidFill>
            <a:latin typeface="Arial"/>
            <a:ea typeface="+mn-ea"/>
            <a:cs typeface="Arial"/>
          </a:endParaRPr>
        </a:p>
      </xdr:txBody>
    </xdr:sp>
    <xdr:clientData/>
  </xdr:twoCellAnchor>
  <xdr:twoCellAnchor>
    <xdr:from>
      <xdr:col>17</xdr:col>
      <xdr:colOff>133350</xdr:colOff>
      <xdr:row>25</xdr:row>
      <xdr:rowOff>146237</xdr:rowOff>
    </xdr:from>
    <xdr:to>
      <xdr:col>20</xdr:col>
      <xdr:colOff>259977</xdr:colOff>
      <xdr:row>28</xdr:row>
      <xdr:rowOff>99171</xdr:rowOff>
    </xdr:to>
    <xdr:sp macro="" textlink="$H$58">
      <xdr:nvSpPr>
        <xdr:cNvPr id="81" name="TextBox 80">
          <a:extLst>
            <a:ext uri="{FF2B5EF4-FFF2-40B4-BE49-F238E27FC236}">
              <a16:creationId xmlns:a16="http://schemas.microsoft.com/office/drawing/2014/main" id="{ED00C6D0-C1F9-45F6-BEEC-C01B4023386E}"/>
            </a:ext>
          </a:extLst>
        </xdr:cNvPr>
        <xdr:cNvSpPr txBox="1"/>
      </xdr:nvSpPr>
      <xdr:spPr>
        <a:xfrm>
          <a:off x="27127200" y="5270687"/>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24988.05029</a:t>
          </a:fld>
          <a:endParaRPr lang="en-AU" sz="2600" b="1" i="0" u="none" strike="noStrike">
            <a:solidFill>
              <a:srgbClr val="4F4789"/>
            </a:solidFill>
            <a:latin typeface="Arial"/>
            <a:ea typeface="+mn-ea"/>
            <a:cs typeface="Arial"/>
          </a:endParaRPr>
        </a:p>
      </xdr:txBody>
    </xdr:sp>
    <xdr:clientData/>
  </xdr:twoCellAnchor>
  <xdr:twoCellAnchor>
    <xdr:from>
      <xdr:col>26</xdr:col>
      <xdr:colOff>328332</xdr:colOff>
      <xdr:row>25</xdr:row>
      <xdr:rowOff>174812</xdr:rowOff>
    </xdr:from>
    <xdr:to>
      <xdr:col>29</xdr:col>
      <xdr:colOff>476809</xdr:colOff>
      <xdr:row>28</xdr:row>
      <xdr:rowOff>80121</xdr:rowOff>
    </xdr:to>
    <xdr:sp macro="" textlink="$I$58">
      <xdr:nvSpPr>
        <xdr:cNvPr id="82" name="TextBox 81">
          <a:extLst>
            <a:ext uri="{FF2B5EF4-FFF2-40B4-BE49-F238E27FC236}">
              <a16:creationId xmlns:a16="http://schemas.microsoft.com/office/drawing/2014/main" id="{D8B78F67-BCD5-4DF9-84F1-8FDDEE8D333F}"/>
            </a:ext>
          </a:extLst>
        </xdr:cNvPr>
        <xdr:cNvSpPr txBox="1"/>
      </xdr:nvSpPr>
      <xdr:spPr>
        <a:xfrm>
          <a:off x="32808582" y="5299262"/>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26956.70505</a:t>
          </a:fld>
          <a:endParaRPr lang="en-AU" sz="2600" b="1" i="0" u="none" strike="noStrike">
            <a:solidFill>
              <a:srgbClr val="4F4789"/>
            </a:solidFill>
            <a:latin typeface="Arial"/>
            <a:ea typeface="+mn-ea"/>
            <a:cs typeface="Arial"/>
          </a:endParaRPr>
        </a:p>
      </xdr:txBody>
    </xdr:sp>
    <xdr:clientData/>
  </xdr:twoCellAnchor>
  <xdr:twoCellAnchor>
    <xdr:from>
      <xdr:col>21</xdr:col>
      <xdr:colOff>27454</xdr:colOff>
      <xdr:row>14</xdr:row>
      <xdr:rowOff>23532</xdr:rowOff>
    </xdr:from>
    <xdr:to>
      <xdr:col>24</xdr:col>
      <xdr:colOff>556933</xdr:colOff>
      <xdr:row>16</xdr:row>
      <xdr:rowOff>135030</xdr:rowOff>
    </xdr:to>
    <xdr:sp macro="" textlink="$H$49">
      <xdr:nvSpPr>
        <xdr:cNvPr id="83" name="TextBox 82">
          <a:extLst>
            <a:ext uri="{FF2B5EF4-FFF2-40B4-BE49-F238E27FC236}">
              <a16:creationId xmlns:a16="http://schemas.microsoft.com/office/drawing/2014/main" id="{FC5AF483-D75F-4D8E-B128-F8247216901F}"/>
            </a:ext>
          </a:extLst>
        </xdr:cNvPr>
        <xdr:cNvSpPr txBox="1"/>
      </xdr:nvSpPr>
      <xdr:spPr>
        <a:xfrm>
          <a:off x="29459704" y="2947707"/>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244.50147057153</a:t>
          </a:fld>
          <a:endParaRPr lang="en-AU" sz="2600" b="1" i="0" u="none" strike="noStrike">
            <a:solidFill>
              <a:srgbClr val="0C769E"/>
            </a:solidFill>
            <a:latin typeface="Arial"/>
            <a:ea typeface="+mn-ea"/>
            <a:cs typeface="Arial"/>
          </a:endParaRPr>
        </a:p>
      </xdr:txBody>
    </xdr:sp>
    <xdr:clientData/>
  </xdr:twoCellAnchor>
  <xdr:twoCellAnchor>
    <xdr:from>
      <xdr:col>30</xdr:col>
      <xdr:colOff>374837</xdr:colOff>
      <xdr:row>14</xdr:row>
      <xdr:rowOff>52107</xdr:rowOff>
    </xdr:from>
    <xdr:to>
      <xdr:col>33</xdr:col>
      <xdr:colOff>434789</xdr:colOff>
      <xdr:row>16</xdr:row>
      <xdr:rowOff>135030</xdr:rowOff>
    </xdr:to>
    <xdr:sp macro="" textlink="$I$49">
      <xdr:nvSpPr>
        <xdr:cNvPr id="84" name="TextBox 83">
          <a:extLst>
            <a:ext uri="{FF2B5EF4-FFF2-40B4-BE49-F238E27FC236}">
              <a16:creationId xmlns:a16="http://schemas.microsoft.com/office/drawing/2014/main" id="{D0334C0D-09CF-4F36-8922-7C899B6F43D0}"/>
            </a:ext>
          </a:extLst>
        </xdr:cNvPr>
        <xdr:cNvSpPr txBox="1"/>
      </xdr:nvSpPr>
      <xdr:spPr>
        <a:xfrm>
          <a:off x="35293487" y="2976282"/>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263.76423730967</a:t>
          </a:fld>
          <a:endParaRPr lang="en-AU" sz="2600" b="1" i="0" u="none" strike="noStrike">
            <a:solidFill>
              <a:srgbClr val="0C769E"/>
            </a:solidFill>
            <a:latin typeface="Arial"/>
            <a:ea typeface="+mn-ea"/>
            <a:cs typeface="Arial"/>
          </a:endParaRPr>
        </a:p>
      </xdr:txBody>
    </xdr:sp>
    <xdr:clientData/>
  </xdr:twoCellAnchor>
  <xdr:twoCellAnchor>
    <xdr:from>
      <xdr:col>17</xdr:col>
      <xdr:colOff>133350</xdr:colOff>
      <xdr:row>12</xdr:row>
      <xdr:rowOff>140633</xdr:rowOff>
    </xdr:from>
    <xdr:to>
      <xdr:col>19</xdr:col>
      <xdr:colOff>450477</xdr:colOff>
      <xdr:row>14</xdr:row>
      <xdr:rowOff>23531</xdr:rowOff>
    </xdr:to>
    <xdr:sp macro="" textlink="$J$44">
      <xdr:nvSpPr>
        <xdr:cNvPr id="85" name="TextBox 84">
          <a:extLst>
            <a:ext uri="{FF2B5EF4-FFF2-40B4-BE49-F238E27FC236}">
              <a16:creationId xmlns:a16="http://schemas.microsoft.com/office/drawing/2014/main" id="{E0E48C79-E6C9-4C13-B1F3-7AB95D6C8A6A}"/>
            </a:ext>
          </a:extLst>
        </xdr:cNvPr>
        <xdr:cNvSpPr txBox="1"/>
      </xdr:nvSpPr>
      <xdr:spPr>
        <a:xfrm>
          <a:off x="27127200" y="2664758"/>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21</xdr:col>
      <xdr:colOff>27454</xdr:colOff>
      <xdr:row>12</xdr:row>
      <xdr:rowOff>140633</xdr:rowOff>
    </xdr:from>
    <xdr:to>
      <xdr:col>25</xdr:col>
      <xdr:colOff>166886</xdr:colOff>
      <xdr:row>14</xdr:row>
      <xdr:rowOff>23531</xdr:rowOff>
    </xdr:to>
    <xdr:sp macro="" textlink="$J$44">
      <xdr:nvSpPr>
        <xdr:cNvPr id="86" name="TextBox 85">
          <a:extLst>
            <a:ext uri="{FF2B5EF4-FFF2-40B4-BE49-F238E27FC236}">
              <a16:creationId xmlns:a16="http://schemas.microsoft.com/office/drawing/2014/main" id="{D554859E-4871-46C5-8B3B-3EDC73AEA0DB}"/>
            </a:ext>
          </a:extLst>
        </xdr:cNvPr>
        <xdr:cNvSpPr txBox="1"/>
      </xdr:nvSpPr>
      <xdr:spPr>
        <a:xfrm>
          <a:off x="29459704" y="2664758"/>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17</xdr:col>
      <xdr:colOff>133350</xdr:colOff>
      <xdr:row>10</xdr:row>
      <xdr:rowOff>162485</xdr:rowOff>
    </xdr:from>
    <xdr:to>
      <xdr:col>19</xdr:col>
      <xdr:colOff>450477</xdr:colOff>
      <xdr:row>12</xdr:row>
      <xdr:rowOff>45382</xdr:rowOff>
    </xdr:to>
    <xdr:sp macro="" textlink="$J$44">
      <xdr:nvSpPr>
        <xdr:cNvPr id="87" name="TextBox 86">
          <a:extLst>
            <a:ext uri="{FF2B5EF4-FFF2-40B4-BE49-F238E27FC236}">
              <a16:creationId xmlns:a16="http://schemas.microsoft.com/office/drawing/2014/main" id="{CACF04F8-2715-4DF5-BBB0-426CF670A88C}"/>
            </a:ext>
          </a:extLst>
        </xdr:cNvPr>
        <xdr:cNvSpPr txBox="1"/>
      </xdr:nvSpPr>
      <xdr:spPr>
        <a:xfrm>
          <a:off x="27127200" y="2286560"/>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17</xdr:col>
      <xdr:colOff>171450</xdr:colOff>
      <xdr:row>8</xdr:row>
      <xdr:rowOff>165287</xdr:rowOff>
    </xdr:from>
    <xdr:to>
      <xdr:col>20</xdr:col>
      <xdr:colOff>532279</xdr:colOff>
      <xdr:row>10</xdr:row>
      <xdr:rowOff>133910</xdr:rowOff>
    </xdr:to>
    <xdr:sp macro="" textlink="">
      <xdr:nvSpPr>
        <xdr:cNvPr id="88" name="TextBox 87">
          <a:extLst>
            <a:ext uri="{FF2B5EF4-FFF2-40B4-BE49-F238E27FC236}">
              <a16:creationId xmlns:a16="http://schemas.microsoft.com/office/drawing/2014/main" id="{FAEE522E-1CD8-4A51-907D-C7A69DF07D11}"/>
            </a:ext>
          </a:extLst>
        </xdr:cNvPr>
        <xdr:cNvSpPr txBox="1"/>
      </xdr:nvSpPr>
      <xdr:spPr>
        <a:xfrm>
          <a:off x="27165300" y="1889312"/>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17</xdr:col>
      <xdr:colOff>180975</xdr:colOff>
      <xdr:row>10</xdr:row>
      <xdr:rowOff>139375</xdr:rowOff>
    </xdr:from>
    <xdr:to>
      <xdr:col>34</xdr:col>
      <xdr:colOff>447675</xdr:colOff>
      <xdr:row>10</xdr:row>
      <xdr:rowOff>152960</xdr:rowOff>
    </xdr:to>
    <xdr:cxnSp macro="">
      <xdr:nvCxnSpPr>
        <xdr:cNvPr id="89" name="Straight Connector 88">
          <a:extLst>
            <a:ext uri="{FF2B5EF4-FFF2-40B4-BE49-F238E27FC236}">
              <a16:creationId xmlns:a16="http://schemas.microsoft.com/office/drawing/2014/main" id="{A038FE9A-0252-41BC-BD2D-A795440FEFCD}"/>
            </a:ext>
          </a:extLst>
        </xdr:cNvPr>
        <xdr:cNvCxnSpPr/>
      </xdr:nvCxnSpPr>
      <xdr:spPr>
        <a:xfrm flipV="1">
          <a:off x="27174825" y="2263450"/>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140633</xdr:rowOff>
    </xdr:from>
    <xdr:to>
      <xdr:col>29</xdr:col>
      <xdr:colOff>38659</xdr:colOff>
      <xdr:row>14</xdr:row>
      <xdr:rowOff>23531</xdr:rowOff>
    </xdr:to>
    <xdr:sp macro="" textlink="$J$44">
      <xdr:nvSpPr>
        <xdr:cNvPr id="90" name="TextBox 89">
          <a:extLst>
            <a:ext uri="{FF2B5EF4-FFF2-40B4-BE49-F238E27FC236}">
              <a16:creationId xmlns:a16="http://schemas.microsoft.com/office/drawing/2014/main" id="{73ADD220-9404-4873-91D2-981E349EE581}"/>
            </a:ext>
          </a:extLst>
        </xdr:cNvPr>
        <xdr:cNvSpPr txBox="1"/>
      </xdr:nvSpPr>
      <xdr:spPr>
        <a:xfrm>
          <a:off x="32808582" y="2664758"/>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26</xdr:col>
      <xdr:colOff>328332</xdr:colOff>
      <xdr:row>10</xdr:row>
      <xdr:rowOff>162485</xdr:rowOff>
    </xdr:from>
    <xdr:to>
      <xdr:col>29</xdr:col>
      <xdr:colOff>38659</xdr:colOff>
      <xdr:row>12</xdr:row>
      <xdr:rowOff>45382</xdr:rowOff>
    </xdr:to>
    <xdr:sp macro="" textlink="$J$44">
      <xdr:nvSpPr>
        <xdr:cNvPr id="91" name="TextBox 90">
          <a:extLst>
            <a:ext uri="{FF2B5EF4-FFF2-40B4-BE49-F238E27FC236}">
              <a16:creationId xmlns:a16="http://schemas.microsoft.com/office/drawing/2014/main" id="{79DFA243-78FF-4220-8C93-6B97C7A32B97}"/>
            </a:ext>
          </a:extLst>
        </xdr:cNvPr>
        <xdr:cNvSpPr txBox="1"/>
      </xdr:nvSpPr>
      <xdr:spPr>
        <a:xfrm>
          <a:off x="32808582" y="2286560"/>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17</xdr:col>
      <xdr:colOff>133350</xdr:colOff>
      <xdr:row>12</xdr:row>
      <xdr:rowOff>64433</xdr:rowOff>
    </xdr:from>
    <xdr:to>
      <xdr:col>25</xdr:col>
      <xdr:colOff>137833</xdr:colOff>
      <xdr:row>12</xdr:row>
      <xdr:rowOff>64433</xdr:rowOff>
    </xdr:to>
    <xdr:cxnSp macro="">
      <xdr:nvCxnSpPr>
        <xdr:cNvPr id="92" name="Straight Connector 91">
          <a:extLst>
            <a:ext uri="{FF2B5EF4-FFF2-40B4-BE49-F238E27FC236}">
              <a16:creationId xmlns:a16="http://schemas.microsoft.com/office/drawing/2014/main" id="{8CA9A504-1EED-4D22-9ED5-BF3394DFE770}"/>
            </a:ext>
          </a:extLst>
        </xdr:cNvPr>
        <xdr:cNvCxnSpPr/>
      </xdr:nvCxnSpPr>
      <xdr:spPr>
        <a:xfrm>
          <a:off x="27127200" y="2588558"/>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64433</xdr:rowOff>
    </xdr:from>
    <xdr:to>
      <xdr:col>34</xdr:col>
      <xdr:colOff>457200</xdr:colOff>
      <xdr:row>12</xdr:row>
      <xdr:rowOff>64433</xdr:rowOff>
    </xdr:to>
    <xdr:cxnSp macro="">
      <xdr:nvCxnSpPr>
        <xdr:cNvPr id="93" name="Straight Connector 92">
          <a:extLst>
            <a:ext uri="{FF2B5EF4-FFF2-40B4-BE49-F238E27FC236}">
              <a16:creationId xmlns:a16="http://schemas.microsoft.com/office/drawing/2014/main" id="{7B7F5424-2E41-4EFD-A531-17051716C79C}"/>
            </a:ext>
          </a:extLst>
        </xdr:cNvPr>
        <xdr:cNvCxnSpPr/>
      </xdr:nvCxnSpPr>
      <xdr:spPr>
        <a:xfrm>
          <a:off x="32808582" y="2588558"/>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133350</xdr:colOff>
      <xdr:row>24</xdr:row>
      <xdr:rowOff>36419</xdr:rowOff>
    </xdr:from>
    <xdr:to>
      <xdr:col>19</xdr:col>
      <xdr:colOff>450477</xdr:colOff>
      <xdr:row>25</xdr:row>
      <xdr:rowOff>117661</xdr:rowOff>
    </xdr:to>
    <xdr:sp macro="" textlink="$J$44">
      <xdr:nvSpPr>
        <xdr:cNvPr id="94" name="TextBox 93">
          <a:extLst>
            <a:ext uri="{FF2B5EF4-FFF2-40B4-BE49-F238E27FC236}">
              <a16:creationId xmlns:a16="http://schemas.microsoft.com/office/drawing/2014/main" id="{A06714D0-BBB7-4BE2-B2D2-44709C6CD61D}"/>
            </a:ext>
          </a:extLst>
        </xdr:cNvPr>
        <xdr:cNvSpPr txBox="1"/>
      </xdr:nvSpPr>
      <xdr:spPr>
        <a:xfrm>
          <a:off x="27127200" y="4960844"/>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21</xdr:col>
      <xdr:colOff>112701</xdr:colOff>
      <xdr:row>24</xdr:row>
      <xdr:rowOff>36419</xdr:rowOff>
    </xdr:from>
    <xdr:to>
      <xdr:col>25</xdr:col>
      <xdr:colOff>252133</xdr:colOff>
      <xdr:row>25</xdr:row>
      <xdr:rowOff>117661</xdr:rowOff>
    </xdr:to>
    <xdr:sp macro="" textlink="$J$44">
      <xdr:nvSpPr>
        <xdr:cNvPr id="95" name="TextBox 94">
          <a:extLst>
            <a:ext uri="{FF2B5EF4-FFF2-40B4-BE49-F238E27FC236}">
              <a16:creationId xmlns:a16="http://schemas.microsoft.com/office/drawing/2014/main" id="{6D3DA5BF-02E7-44AA-8F2B-6762CD6CAC7B}"/>
            </a:ext>
          </a:extLst>
        </xdr:cNvPr>
        <xdr:cNvSpPr txBox="1"/>
      </xdr:nvSpPr>
      <xdr:spPr>
        <a:xfrm>
          <a:off x="29544951" y="4960844"/>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17</xdr:col>
      <xdr:colOff>133350</xdr:colOff>
      <xdr:row>22</xdr:row>
      <xdr:rowOff>59951</xdr:rowOff>
    </xdr:from>
    <xdr:to>
      <xdr:col>19</xdr:col>
      <xdr:colOff>450477</xdr:colOff>
      <xdr:row>23</xdr:row>
      <xdr:rowOff>139512</xdr:rowOff>
    </xdr:to>
    <xdr:sp macro="" textlink="$J$44">
      <xdr:nvSpPr>
        <xdr:cNvPr id="96" name="TextBox 95">
          <a:extLst>
            <a:ext uri="{FF2B5EF4-FFF2-40B4-BE49-F238E27FC236}">
              <a16:creationId xmlns:a16="http://schemas.microsoft.com/office/drawing/2014/main" id="{0C4B6353-0CF4-4FCC-BE7E-AB545026DC3F}"/>
            </a:ext>
          </a:extLst>
        </xdr:cNvPr>
        <xdr:cNvSpPr txBox="1"/>
      </xdr:nvSpPr>
      <xdr:spPr>
        <a:xfrm>
          <a:off x="27127200" y="4584326"/>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17</xdr:col>
      <xdr:colOff>133350</xdr:colOff>
      <xdr:row>16</xdr:row>
      <xdr:rowOff>39781</xdr:rowOff>
    </xdr:from>
    <xdr:ext cx="1830116" cy="254493"/>
    <xdr:sp macro="" textlink="">
      <xdr:nvSpPr>
        <xdr:cNvPr id="97" name="TextBox 96">
          <a:extLst>
            <a:ext uri="{FF2B5EF4-FFF2-40B4-BE49-F238E27FC236}">
              <a16:creationId xmlns:a16="http://schemas.microsoft.com/office/drawing/2014/main" id="{B4723D13-4C58-4CB3-9AE4-455255F55F45}"/>
            </a:ext>
          </a:extLst>
        </xdr:cNvPr>
        <xdr:cNvSpPr txBox="1"/>
      </xdr:nvSpPr>
      <xdr:spPr>
        <a:xfrm>
          <a:off x="27127200"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17</xdr:col>
      <xdr:colOff>171450</xdr:colOff>
      <xdr:row>20</xdr:row>
      <xdr:rowOff>62752</xdr:rowOff>
    </xdr:from>
    <xdr:to>
      <xdr:col>20</xdr:col>
      <xdr:colOff>532279</xdr:colOff>
      <xdr:row>22</xdr:row>
      <xdr:rowOff>29695</xdr:rowOff>
    </xdr:to>
    <xdr:sp macro="" textlink="">
      <xdr:nvSpPr>
        <xdr:cNvPr id="98" name="TextBox 97">
          <a:extLst>
            <a:ext uri="{FF2B5EF4-FFF2-40B4-BE49-F238E27FC236}">
              <a16:creationId xmlns:a16="http://schemas.microsoft.com/office/drawing/2014/main" id="{033AADE7-B3D6-48B8-A99A-46C1AF2F9C6F}"/>
            </a:ext>
          </a:extLst>
        </xdr:cNvPr>
        <xdr:cNvSpPr txBox="1"/>
      </xdr:nvSpPr>
      <xdr:spPr>
        <a:xfrm>
          <a:off x="27165300" y="4187077"/>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17</xdr:col>
      <xdr:colOff>180975</xdr:colOff>
      <xdr:row>22</xdr:row>
      <xdr:rowOff>35243</xdr:rowOff>
    </xdr:from>
    <xdr:to>
      <xdr:col>34</xdr:col>
      <xdr:colOff>495300</xdr:colOff>
      <xdr:row>22</xdr:row>
      <xdr:rowOff>50426</xdr:rowOff>
    </xdr:to>
    <xdr:cxnSp macro="">
      <xdr:nvCxnSpPr>
        <xdr:cNvPr id="99" name="Straight Connector 98">
          <a:extLst>
            <a:ext uri="{FF2B5EF4-FFF2-40B4-BE49-F238E27FC236}">
              <a16:creationId xmlns:a16="http://schemas.microsoft.com/office/drawing/2014/main" id="{4E323620-102F-417B-99C3-DAE0A5190682}"/>
            </a:ext>
          </a:extLst>
        </xdr:cNvPr>
        <xdr:cNvCxnSpPr/>
      </xdr:nvCxnSpPr>
      <xdr:spPr>
        <a:xfrm flipV="1">
          <a:off x="27174825" y="4559618"/>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24</xdr:row>
      <xdr:rowOff>36419</xdr:rowOff>
    </xdr:from>
    <xdr:to>
      <xdr:col>29</xdr:col>
      <xdr:colOff>38659</xdr:colOff>
      <xdr:row>25</xdr:row>
      <xdr:rowOff>117661</xdr:rowOff>
    </xdr:to>
    <xdr:sp macro="" textlink="$J$44">
      <xdr:nvSpPr>
        <xdr:cNvPr id="100" name="TextBox 99">
          <a:extLst>
            <a:ext uri="{FF2B5EF4-FFF2-40B4-BE49-F238E27FC236}">
              <a16:creationId xmlns:a16="http://schemas.microsoft.com/office/drawing/2014/main" id="{9A97F318-624A-4671-A99C-8E5FF1C7B63D}"/>
            </a:ext>
          </a:extLst>
        </xdr:cNvPr>
        <xdr:cNvSpPr txBox="1"/>
      </xdr:nvSpPr>
      <xdr:spPr>
        <a:xfrm>
          <a:off x="32808582" y="4960844"/>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26</xdr:col>
      <xdr:colOff>328332</xdr:colOff>
      <xdr:row>22</xdr:row>
      <xdr:rowOff>59951</xdr:rowOff>
    </xdr:from>
    <xdr:to>
      <xdr:col>29</xdr:col>
      <xdr:colOff>38659</xdr:colOff>
      <xdr:row>23</xdr:row>
      <xdr:rowOff>139512</xdr:rowOff>
    </xdr:to>
    <xdr:sp macro="" textlink="$J$44">
      <xdr:nvSpPr>
        <xdr:cNvPr id="101" name="TextBox 100">
          <a:extLst>
            <a:ext uri="{FF2B5EF4-FFF2-40B4-BE49-F238E27FC236}">
              <a16:creationId xmlns:a16="http://schemas.microsoft.com/office/drawing/2014/main" id="{6FA79D7D-83B4-4867-9624-5081298C2E00}"/>
            </a:ext>
          </a:extLst>
        </xdr:cNvPr>
        <xdr:cNvSpPr txBox="1"/>
      </xdr:nvSpPr>
      <xdr:spPr>
        <a:xfrm>
          <a:off x="32808582" y="4584326"/>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17</xdr:col>
      <xdr:colOff>133350</xdr:colOff>
      <xdr:row>23</xdr:row>
      <xdr:rowOff>158563</xdr:rowOff>
    </xdr:from>
    <xdr:to>
      <xdr:col>25</xdr:col>
      <xdr:colOff>166408</xdr:colOff>
      <xdr:row>23</xdr:row>
      <xdr:rowOff>158563</xdr:rowOff>
    </xdr:to>
    <xdr:cxnSp macro="">
      <xdr:nvCxnSpPr>
        <xdr:cNvPr id="102" name="Straight Connector 101">
          <a:extLst>
            <a:ext uri="{FF2B5EF4-FFF2-40B4-BE49-F238E27FC236}">
              <a16:creationId xmlns:a16="http://schemas.microsoft.com/office/drawing/2014/main" id="{8940BF8F-EF91-4E95-ADC1-DC0753C8AB25}"/>
            </a:ext>
          </a:extLst>
        </xdr:cNvPr>
        <xdr:cNvCxnSpPr/>
      </xdr:nvCxnSpPr>
      <xdr:spPr>
        <a:xfrm>
          <a:off x="27127200" y="4882963"/>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23</xdr:row>
      <xdr:rowOff>158563</xdr:rowOff>
    </xdr:from>
    <xdr:to>
      <xdr:col>34</xdr:col>
      <xdr:colOff>514350</xdr:colOff>
      <xdr:row>23</xdr:row>
      <xdr:rowOff>158563</xdr:rowOff>
    </xdr:to>
    <xdr:cxnSp macro="">
      <xdr:nvCxnSpPr>
        <xdr:cNvPr id="103" name="Straight Connector 102">
          <a:extLst>
            <a:ext uri="{FF2B5EF4-FFF2-40B4-BE49-F238E27FC236}">
              <a16:creationId xmlns:a16="http://schemas.microsoft.com/office/drawing/2014/main" id="{EA41BE58-9981-4BD2-BC88-4A5F65E36D24}"/>
            </a:ext>
          </a:extLst>
        </xdr:cNvPr>
        <xdr:cNvCxnSpPr/>
      </xdr:nvCxnSpPr>
      <xdr:spPr>
        <a:xfrm>
          <a:off x="32808582" y="4882963"/>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21</xdr:col>
      <xdr:colOff>27454</xdr:colOff>
      <xdr:row>16</xdr:row>
      <xdr:rowOff>39781</xdr:rowOff>
    </xdr:from>
    <xdr:ext cx="1830116" cy="254493"/>
    <xdr:sp macro="" textlink="">
      <xdr:nvSpPr>
        <xdr:cNvPr id="104" name="TextBox 103">
          <a:extLst>
            <a:ext uri="{FF2B5EF4-FFF2-40B4-BE49-F238E27FC236}">
              <a16:creationId xmlns:a16="http://schemas.microsoft.com/office/drawing/2014/main" id="{1F00E05B-D1AC-46EA-88D3-8F656FD5F546}"/>
            </a:ext>
          </a:extLst>
        </xdr:cNvPr>
        <xdr:cNvSpPr txBox="1"/>
      </xdr:nvSpPr>
      <xdr:spPr>
        <a:xfrm>
          <a:off x="29459704"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16</xdr:row>
      <xdr:rowOff>39781</xdr:rowOff>
    </xdr:from>
    <xdr:ext cx="1830116" cy="254493"/>
    <xdr:sp macro="" textlink="">
      <xdr:nvSpPr>
        <xdr:cNvPr id="105" name="TextBox 104">
          <a:extLst>
            <a:ext uri="{FF2B5EF4-FFF2-40B4-BE49-F238E27FC236}">
              <a16:creationId xmlns:a16="http://schemas.microsoft.com/office/drawing/2014/main" id="{A06EAEAA-2DAF-4102-8838-C5870253A7F8}"/>
            </a:ext>
          </a:extLst>
        </xdr:cNvPr>
        <xdr:cNvSpPr txBox="1"/>
      </xdr:nvSpPr>
      <xdr:spPr>
        <a:xfrm>
          <a:off x="32808582"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30</xdr:col>
      <xdr:colOff>374837</xdr:colOff>
      <xdr:row>16</xdr:row>
      <xdr:rowOff>39781</xdr:rowOff>
    </xdr:from>
    <xdr:ext cx="1830116" cy="254493"/>
    <xdr:sp macro="" textlink="">
      <xdr:nvSpPr>
        <xdr:cNvPr id="106" name="TextBox 105">
          <a:extLst>
            <a:ext uri="{FF2B5EF4-FFF2-40B4-BE49-F238E27FC236}">
              <a16:creationId xmlns:a16="http://schemas.microsoft.com/office/drawing/2014/main" id="{A0F66C15-F36A-492E-BB1B-9F3D493B98B9}"/>
            </a:ext>
          </a:extLst>
        </xdr:cNvPr>
        <xdr:cNvSpPr txBox="1"/>
      </xdr:nvSpPr>
      <xdr:spPr>
        <a:xfrm>
          <a:off x="35293487"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17</xdr:col>
      <xdr:colOff>133350</xdr:colOff>
      <xdr:row>28</xdr:row>
      <xdr:rowOff>29135</xdr:rowOff>
    </xdr:from>
    <xdr:ext cx="1830116" cy="254493"/>
    <xdr:sp macro="" textlink="">
      <xdr:nvSpPr>
        <xdr:cNvPr id="107" name="TextBox 106">
          <a:extLst>
            <a:ext uri="{FF2B5EF4-FFF2-40B4-BE49-F238E27FC236}">
              <a16:creationId xmlns:a16="http://schemas.microsoft.com/office/drawing/2014/main" id="{D5EFED6F-51D7-456F-8BDB-E6AE63DBED6E}"/>
            </a:ext>
          </a:extLst>
        </xdr:cNvPr>
        <xdr:cNvSpPr txBox="1"/>
      </xdr:nvSpPr>
      <xdr:spPr>
        <a:xfrm>
          <a:off x="27127200"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21</xdr:col>
      <xdr:colOff>36979</xdr:colOff>
      <xdr:row>28</xdr:row>
      <xdr:rowOff>29135</xdr:rowOff>
    </xdr:from>
    <xdr:ext cx="1830116" cy="254493"/>
    <xdr:sp macro="" textlink="">
      <xdr:nvSpPr>
        <xdr:cNvPr id="108" name="TextBox 107">
          <a:extLst>
            <a:ext uri="{FF2B5EF4-FFF2-40B4-BE49-F238E27FC236}">
              <a16:creationId xmlns:a16="http://schemas.microsoft.com/office/drawing/2014/main" id="{8BC081B4-F564-4CFA-AACD-90F7A3418417}"/>
            </a:ext>
          </a:extLst>
        </xdr:cNvPr>
        <xdr:cNvSpPr txBox="1"/>
      </xdr:nvSpPr>
      <xdr:spPr>
        <a:xfrm>
          <a:off x="29469229"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28</xdr:row>
      <xdr:rowOff>29135</xdr:rowOff>
    </xdr:from>
    <xdr:ext cx="1830116" cy="254493"/>
    <xdr:sp macro="" textlink="">
      <xdr:nvSpPr>
        <xdr:cNvPr id="109" name="TextBox 108">
          <a:extLst>
            <a:ext uri="{FF2B5EF4-FFF2-40B4-BE49-F238E27FC236}">
              <a16:creationId xmlns:a16="http://schemas.microsoft.com/office/drawing/2014/main" id="{7CC4D452-6B1F-46FB-BAF3-56F31547FF48}"/>
            </a:ext>
          </a:extLst>
        </xdr:cNvPr>
        <xdr:cNvSpPr txBox="1"/>
      </xdr:nvSpPr>
      <xdr:spPr>
        <a:xfrm>
          <a:off x="3280858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30</xdr:col>
      <xdr:colOff>441512</xdr:colOff>
      <xdr:row>28</xdr:row>
      <xdr:rowOff>19610</xdr:rowOff>
    </xdr:from>
    <xdr:ext cx="1830116" cy="254493"/>
    <xdr:sp macro="" textlink="">
      <xdr:nvSpPr>
        <xdr:cNvPr id="110" name="TextBox 109">
          <a:extLst>
            <a:ext uri="{FF2B5EF4-FFF2-40B4-BE49-F238E27FC236}">
              <a16:creationId xmlns:a16="http://schemas.microsoft.com/office/drawing/2014/main" id="{9DD993E1-1813-4861-9BC8-2BA52DC4E979}"/>
            </a:ext>
          </a:extLst>
        </xdr:cNvPr>
        <xdr:cNvSpPr txBox="1"/>
      </xdr:nvSpPr>
      <xdr:spPr>
        <a:xfrm>
          <a:off x="35360162" y="574413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21</xdr:col>
      <xdr:colOff>65554</xdr:colOff>
      <xdr:row>25</xdr:row>
      <xdr:rowOff>146237</xdr:rowOff>
    </xdr:from>
    <xdr:to>
      <xdr:col>24</xdr:col>
      <xdr:colOff>194983</xdr:colOff>
      <xdr:row>28</xdr:row>
      <xdr:rowOff>99171</xdr:rowOff>
    </xdr:to>
    <xdr:sp macro="" textlink="$H$59">
      <xdr:nvSpPr>
        <xdr:cNvPr id="111" name="TextBox 110">
          <a:extLst>
            <a:ext uri="{FF2B5EF4-FFF2-40B4-BE49-F238E27FC236}">
              <a16:creationId xmlns:a16="http://schemas.microsoft.com/office/drawing/2014/main" id="{4EE8E91D-37A1-4E47-96B0-13A279A424BB}"/>
            </a:ext>
          </a:extLst>
        </xdr:cNvPr>
        <xdr:cNvSpPr txBox="1"/>
      </xdr:nvSpPr>
      <xdr:spPr>
        <a:xfrm>
          <a:off x="29497804" y="5270687"/>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24988.05029</a:t>
          </a:fld>
          <a:endParaRPr lang="en-AU" sz="2600" b="1" i="0" u="none" strike="noStrike">
            <a:solidFill>
              <a:srgbClr val="4F4789"/>
            </a:solidFill>
            <a:latin typeface="Arial"/>
            <a:ea typeface="+mn-ea"/>
            <a:cs typeface="Arial"/>
          </a:endParaRPr>
        </a:p>
      </xdr:txBody>
    </xdr:sp>
    <xdr:clientData/>
  </xdr:twoCellAnchor>
  <xdr:twoCellAnchor>
    <xdr:from>
      <xdr:col>30</xdr:col>
      <xdr:colOff>431986</xdr:colOff>
      <xdr:row>25</xdr:row>
      <xdr:rowOff>165287</xdr:rowOff>
    </xdr:from>
    <xdr:to>
      <xdr:col>33</xdr:col>
      <xdr:colOff>558613</xdr:colOff>
      <xdr:row>28</xdr:row>
      <xdr:rowOff>70596</xdr:rowOff>
    </xdr:to>
    <xdr:sp macro="" textlink="$I$59">
      <xdr:nvSpPr>
        <xdr:cNvPr id="112" name="TextBox 111">
          <a:extLst>
            <a:ext uri="{FF2B5EF4-FFF2-40B4-BE49-F238E27FC236}">
              <a16:creationId xmlns:a16="http://schemas.microsoft.com/office/drawing/2014/main" id="{58530D12-782E-4744-92A5-31CF5B563E70}"/>
            </a:ext>
          </a:extLst>
        </xdr:cNvPr>
        <xdr:cNvSpPr txBox="1"/>
      </xdr:nvSpPr>
      <xdr:spPr>
        <a:xfrm>
          <a:off x="35350636" y="5289737"/>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26956.70505</a:t>
          </a:fld>
          <a:endParaRPr lang="en-AU" sz="2600" b="1" i="0" u="none" strike="noStrike">
            <a:solidFill>
              <a:srgbClr val="4F4789"/>
            </a:solidFill>
            <a:latin typeface="Arial"/>
            <a:ea typeface="+mn-ea"/>
            <a:cs typeface="Arial"/>
          </a:endParaRPr>
        </a:p>
      </xdr:txBody>
    </xdr:sp>
    <xdr:clientData/>
  </xdr:twoCellAnchor>
  <xdr:twoCellAnchor>
    <xdr:from>
      <xdr:col>18</xdr:col>
      <xdr:colOff>574302</xdr:colOff>
      <xdr:row>5</xdr:row>
      <xdr:rowOff>31937</xdr:rowOff>
    </xdr:from>
    <xdr:to>
      <xdr:col>24</xdr:col>
      <xdr:colOff>423583</xdr:colOff>
      <xdr:row>7</xdr:row>
      <xdr:rowOff>14008</xdr:rowOff>
    </xdr:to>
    <xdr:sp macro="" textlink="">
      <xdr:nvSpPr>
        <xdr:cNvPr id="113" name="TextBox 112">
          <a:extLst>
            <a:ext uri="{FF2B5EF4-FFF2-40B4-BE49-F238E27FC236}">
              <a16:creationId xmlns:a16="http://schemas.microsoft.com/office/drawing/2014/main" id="{521AADB7-725E-4A7C-89A5-FA70A472B80F}"/>
            </a:ext>
          </a:extLst>
        </xdr:cNvPr>
        <xdr:cNvSpPr txBox="1"/>
      </xdr:nvSpPr>
      <xdr:spPr>
        <a:xfrm>
          <a:off x="28177752" y="1155887"/>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17</xdr:col>
      <xdr:colOff>174286</xdr:colOff>
      <xdr:row>3</xdr:row>
      <xdr:rowOff>190500</xdr:rowOff>
    </xdr:from>
    <xdr:to>
      <xdr:col>18</xdr:col>
      <xdr:colOff>492328</xdr:colOff>
      <xdr:row>8</xdr:row>
      <xdr:rowOff>70037</xdr:rowOff>
    </xdr:to>
    <xdr:pic>
      <xdr:nvPicPr>
        <xdr:cNvPr id="114" name="Picture 113">
          <a:extLst>
            <a:ext uri="{FF2B5EF4-FFF2-40B4-BE49-F238E27FC236}">
              <a16:creationId xmlns:a16="http://schemas.microsoft.com/office/drawing/2014/main" id="{8167B957-8EE3-4320-A307-70EDFFC313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7481" r="7481"/>
        <a:stretch/>
      </xdr:blipFill>
      <xdr:spPr>
        <a:xfrm flipH="1">
          <a:off x="27168136" y="91440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2A572BC-6DB9-4EB5-8D74-59CB5EBF58FA}"/>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m:t>
                            </m:r>
                          </m:sub>
                        </m:sSub>
                      </m:e>
                    </m:d>
                  </m:oMath>
                </m:oMathPara>
              </a14:m>
              <a:endParaRPr lang="en-AU" sz="1000"/>
            </a:p>
          </xdr:txBody>
        </xdr:sp>
      </mc:Choice>
      <mc:Fallback xmlns="">
        <xdr:sp macro="" textlink="">
          <xdr:nvSpPr>
            <xdr:cNvPr id="2" name="TextBox 1">
              <a:extLst>
                <a:ext uri="{FF2B5EF4-FFF2-40B4-BE49-F238E27FC236}">
                  <a16:creationId xmlns:a16="http://schemas.microsoft.com/office/drawing/2014/main" id="{92A572BC-6DB9-4EB5-8D74-59CB5EBF58FA}"/>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𝑉𝑆_𝑗𝑘=𝐼_𝑗𝑘×(1−𝐷𝑀𝐷_𝑗𝑘 )×(1−𝐴_𝑗 )</a:t>
              </a:r>
              <a:endParaRPr lang="en-AU" sz="10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DA353D7-10AA-48B7-B76A-BCFB75E72E8A}"/>
                </a:ext>
              </a:extLst>
            </xdr:cNvPr>
            <xdr:cNvSpPr txBox="1"/>
          </xdr:nvSpPr>
          <xdr:spPr>
            <a:xfrm>
              <a:off x="2681287" y="1116330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𝐵</m:t>
                    </m:r>
                    <m:sSub>
                      <m:sSubPr>
                        <m:ctrlPr>
                          <a:rPr lang="en-AU" sz="1000" i="1">
                            <a:latin typeface="Cambria Math" panose="02040503050406030204" pitchFamily="18" charset="0"/>
                          </a:rPr>
                        </m:ctrlPr>
                      </m:sSubPr>
                      <m:e>
                        <m:r>
                          <a:rPr lang="en-AU" sz="1000" i="1">
                            <a:latin typeface="Cambria Math" panose="02040503050406030204" pitchFamily="18" charset="0"/>
                          </a:rPr>
                          <m:t>𝑂</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3" name="TextBox 2">
              <a:extLst>
                <a:ext uri="{FF2B5EF4-FFF2-40B4-BE49-F238E27FC236}">
                  <a16:creationId xmlns:a16="http://schemas.microsoft.com/office/drawing/2014/main" id="{0DA353D7-10AA-48B7-B76A-BCFB75E72E8A}"/>
                </a:ext>
              </a:extLst>
            </xdr:cNvPr>
            <xdr:cNvSpPr txBox="1"/>
          </xdr:nvSpPr>
          <xdr:spPr>
            <a:xfrm>
              <a:off x="2681287" y="1116330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𝑀_(𝑗𝑘𝑚𝑇=1)=𝑉𝑆_𝑗𝑘×𝐵𝑂_𝑗×𝑀𝑀𝑆_(𝑗𝑚𝑇=1)×𝑀𝐶𝐹_𝑖𝑚×𝜌</a:t>
              </a:r>
              <a:endParaRPr lang="en-AU" sz="10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A9CEA55-56EE-48A7-A586-C3C5BD12CB81}"/>
                </a:ext>
              </a:extLst>
            </xdr:cNvPr>
            <xdr:cNvSpPr txBox="1"/>
          </xdr:nvSpPr>
          <xdr:spPr>
            <a:xfrm>
              <a:off x="2700337" y="2380297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𝑚𝑇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5A9CEA55-56EE-48A7-A586-C3C5BD12CB81}"/>
                </a:ext>
              </a:extLst>
            </xdr:cNvPr>
            <xdr:cNvSpPr txBox="1"/>
          </xdr:nvSpPr>
          <xdr:spPr>
            <a:xfrm>
              <a:off x="2700337" y="2380297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𝑉𝑆𝑇_𝑗𝑘=𝑉𝑆_𝑗𝑘×𝑀𝑀𝑆_(𝑗𝑚𝑇=1)×(1−𝑉𝑆𝐿_(𝑚𝑇=1) )</a:t>
              </a:r>
              <a:endParaRPr lang="en-AU" sz="10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C0D8618-B634-44F3-A301-EE02DABD2D1F}"/>
                </a:ext>
              </a:extLst>
            </xdr:cNvPr>
            <xdr:cNvSpPr txBox="1"/>
          </xdr:nvSpPr>
          <xdr:spPr>
            <a:xfrm>
              <a:off x="2662237" y="309657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FC0D8618-B634-44F3-A301-EE02DABD2D1F}"/>
                </a:ext>
              </a:extLst>
            </xdr:cNvPr>
            <xdr:cNvSpPr txBox="1"/>
          </xdr:nvSpPr>
          <xdr:spPr>
            <a:xfrm>
              <a:off x="2662237" y="309657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𝑀_(𝑗𝑘𝑚𝑇=2)=𝑉𝑆𝑇_𝑗𝑘×𝐵𝑂×𝑀𝑀𝑆_(𝑗𝑚𝑇=2)×𝑀𝐶𝐹_𝑖𝑚×𝜌</a:t>
              </a:r>
              <a:endParaRPr lang="en-AU" sz="10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117CB9F-BA0A-423C-ADC3-A14F6E3C234D}"/>
                </a:ext>
              </a:extLst>
            </xdr:cNvPr>
            <xdr:cNvSpPr txBox="1"/>
          </xdr:nvSpPr>
          <xdr:spPr>
            <a:xfrm>
              <a:off x="2681287" y="445389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0117CB9F-BA0A-423C-ADC3-A14F6E3C234D}"/>
                </a:ext>
              </a:extLst>
            </xdr:cNvPr>
            <xdr:cNvSpPr txBox="1"/>
          </xdr:nvSpPr>
          <xdr:spPr>
            <a:xfrm>
              <a:off x="2681287" y="445389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BF2296F-744B-4F1D-847F-123CB2AE79CD}"/>
                </a:ext>
              </a:extLst>
            </xdr:cNvPr>
            <xdr:cNvSpPr txBox="1"/>
          </xdr:nvSpPr>
          <xdr:spPr>
            <a:xfrm>
              <a:off x="2667000" y="1992406"/>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sub>
                    </m:sSub>
                    <m:r>
                      <a:rPr lang="en-AU" sz="1000" i="1">
                        <a:latin typeface="Cambria Math" panose="02040503050406030204" pitchFamily="18" charset="0"/>
                      </a:rPr>
                      <m:t>÷6.25</m:t>
                    </m:r>
                  </m:oMath>
                </m:oMathPara>
              </a14:m>
              <a:endParaRPr lang="en-AU" sz="1000"/>
            </a:p>
          </xdr:txBody>
        </xdr:sp>
      </mc:Choice>
      <mc:Fallback xmlns="">
        <xdr:sp macro="" textlink="">
          <xdr:nvSpPr>
            <xdr:cNvPr id="2" name="TextBox 1">
              <a:extLst>
                <a:ext uri="{FF2B5EF4-FFF2-40B4-BE49-F238E27FC236}">
                  <a16:creationId xmlns:a16="http://schemas.microsoft.com/office/drawing/2014/main" id="{5BF2296F-744B-4F1D-847F-123CB2AE79CD}"/>
                </a:ext>
              </a:extLst>
            </xdr:cNvPr>
            <xdr:cNvSpPr txBox="1"/>
          </xdr:nvSpPr>
          <xdr:spPr>
            <a:xfrm>
              <a:off x="2667000" y="1992406"/>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𝑁𝐼_𝑗𝑘=𝐼_𝑗𝑘×𝐶𝑃_𝑗𝑘÷6.25</a:t>
              </a:r>
              <a:endParaRPr lang="en-AU" sz="10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761F321-4D18-4C2E-8CA8-D9AEC066174F}"/>
                </a:ext>
              </a:extLst>
            </xdr:cNvPr>
            <xdr:cNvSpPr txBox="1"/>
          </xdr:nvSpPr>
          <xdr:spPr>
            <a:xfrm>
              <a:off x="2689972" y="9140638"/>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0761F321-4D18-4C2E-8CA8-D9AEC066174F}"/>
                </a:ext>
              </a:extLst>
            </xdr:cNvPr>
            <xdr:cNvSpPr txBox="1"/>
          </xdr:nvSpPr>
          <xdr:spPr>
            <a:xfrm>
              <a:off x="2689972" y="9140638"/>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𝑁𝐸_𝑗𝑘=𝑁𝐼_𝑗𝑘×(1−𝑁𝑅_𝑗𝑘 )</a:t>
              </a:r>
              <a:endParaRPr lang="en-AU" sz="10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55042E5-0EF6-42C6-88E3-2679027863AF}"/>
                </a:ext>
              </a:extLst>
            </xdr:cNvPr>
            <xdr:cNvSpPr txBox="1"/>
          </xdr:nvSpPr>
          <xdr:spPr>
            <a:xfrm>
              <a:off x="2701178" y="14892617"/>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355042E5-0EF6-42C6-88E3-2679027863AF}"/>
                </a:ext>
              </a:extLst>
            </xdr:cNvPr>
            <xdr:cNvSpPr txBox="1"/>
          </xdr:nvSpPr>
          <xdr:spPr>
            <a:xfrm>
              <a:off x="2701178" y="14892617"/>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𝐴𝐸_𝑗𝑘=𝑁_𝑗𝑘×𝑁𝐸_𝑗𝑘×𝐷_𝑗𝑘</a:t>
              </a:r>
              <a:endParaRPr lang="en-AU" sz="10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7DBF85C-482E-434D-AEB6-D5F86812FC54}"/>
                </a:ext>
              </a:extLst>
            </xdr:cNvPr>
            <xdr:cNvSpPr txBox="1"/>
          </xdr:nvSpPr>
          <xdr:spPr>
            <a:xfrm>
              <a:off x="2678765" y="22040850"/>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5" name="TextBox 4">
              <a:extLst>
                <a:ext uri="{FF2B5EF4-FFF2-40B4-BE49-F238E27FC236}">
                  <a16:creationId xmlns:a16="http://schemas.microsoft.com/office/drawing/2014/main" id="{67DBF85C-482E-434D-AEB6-D5F86812FC54}"/>
                </a:ext>
              </a:extLst>
            </xdr:cNvPr>
            <xdr:cNvSpPr txBox="1"/>
          </xdr:nvSpPr>
          <xdr:spPr>
            <a:xfrm>
              <a:off x="2678765" y="22040850"/>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𝑀𝑁_(𝑗𝑘𝑚,𝑇=1)=𝐴𝐸_𝑗𝑘×𝑀𝑀𝑆_(𝑗𝑚,𝑇=1)</a:t>
              </a:r>
              <a:endParaRPr lang="en-AU" sz="10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076CA49-4A3E-4932-898D-1C56453E678F}"/>
                </a:ext>
              </a:extLst>
            </xdr:cNvPr>
            <xdr:cNvSpPr txBox="1"/>
          </xdr:nvSpPr>
          <xdr:spPr>
            <a:xfrm>
              <a:off x="2701178" y="29233905"/>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3076CA49-4A3E-4932-898D-1C56453E678F}"/>
                </a:ext>
              </a:extLst>
            </xdr:cNvPr>
            <xdr:cNvSpPr txBox="1"/>
          </xdr:nvSpPr>
          <xdr:spPr>
            <a:xfrm>
              <a:off x="2701178" y="29233905"/>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𝑁𝑇_(𝑗𝑘𝑚,𝑇=2)=𝑀𝑁_(𝑗𝑘𝑚,𝑇=1)×(1−𝐹𝑟𝑎𝑐𝐺𝐴𝑆𝑀_(𝑚,𝑇=1)−𝐸𝐹_(𝑚,𝑇=1) )</a:t>
              </a:r>
              <a:endParaRPr lang="en-AU" sz="10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EE20B03-4B70-4D62-891C-20FAC5B82458}"/>
                </a:ext>
              </a:extLst>
            </xdr:cNvPr>
            <xdr:cNvSpPr txBox="1"/>
          </xdr:nvSpPr>
          <xdr:spPr>
            <a:xfrm>
              <a:off x="2712384" y="39409968"/>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7" name="TextBox 6">
              <a:extLst>
                <a:ext uri="{FF2B5EF4-FFF2-40B4-BE49-F238E27FC236}">
                  <a16:creationId xmlns:a16="http://schemas.microsoft.com/office/drawing/2014/main" id="{6EE20B03-4B70-4D62-891C-20FAC5B82458}"/>
                </a:ext>
              </a:extLst>
            </xdr:cNvPr>
            <xdr:cNvSpPr txBox="1"/>
          </xdr:nvSpPr>
          <xdr:spPr>
            <a:xfrm>
              <a:off x="2712384" y="39409968"/>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𝑀𝑁_(𝑗𝑘𝑚,𝑇=2)=𝑁𝑇_(𝑗𝑘𝑚,𝑇=2)×𝑀𝑀𝑆_(𝑚,𝑇=2)</a:t>
              </a:r>
              <a:endParaRPr lang="en-AU" sz="10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90CACED-0DC7-437A-8A0B-FD5ED65927BC}"/>
                </a:ext>
              </a:extLst>
            </xdr:cNvPr>
            <xdr:cNvSpPr txBox="1"/>
          </xdr:nvSpPr>
          <xdr:spPr>
            <a:xfrm>
              <a:off x="2678765" y="51950471"/>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A90CACED-0DC7-437A-8A0B-FD5ED65927BC}"/>
                </a:ext>
              </a:extLst>
            </xdr:cNvPr>
            <xdr:cNvSpPr txBox="1"/>
          </xdr:nvSpPr>
          <xdr:spPr>
            <a:xfrm>
              <a:off x="2678765" y="51950471"/>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𝐸_(𝑁2𝑂,𝑑𝑖𝑟)=∑_𝑗▒∑_𝑘▒∑_𝑚▒∑_𝑇▒(𝑀𝑁_𝑗𝑘𝑚𝑇×𝐸𝐹_𝑗𝑚×𝐶_𝑁2𝑂 ) ×10^(−3)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3F0AAC2-CD2F-441E-9197-4E8FCD00201C}"/>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03F0AAC2-CD2F-441E-9197-4E8FCD00201C}"/>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𝑀𝑀𝑆_𝐴𝑇𝑀𝑂𝑆=∑_𝑗▒∑_𝑘▒∑_𝑚▒∑_𝑇▒(𝑀𝑁_𝑗𝑘𝑚𝑇×𝐹𝑟𝑎𝑐𝐺𝐴𝑆𝑀_𝑚𝑇 ) </a:t>
              </a:r>
              <a:endParaRPr lang="en-AU" sz="10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CC3903-9685-4411-91AF-EAED3EB6F211}"/>
                </a:ext>
              </a:extLst>
            </xdr:cNvPr>
            <xdr:cNvSpPr txBox="1"/>
          </xdr:nvSpPr>
          <xdr:spPr>
            <a:xfrm>
              <a:off x="2643187" y="2081212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2CC3903-9685-4411-91AF-EAED3EB6F211}"/>
                </a:ext>
              </a:extLst>
            </xdr:cNvPr>
            <xdr:cNvSpPr txBox="1"/>
          </xdr:nvSpPr>
          <xdr:spPr>
            <a:xfrm>
              <a:off x="2643187" y="2081212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 )×10^(−3)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E27FEE4-0164-41A7-98F4-32A3EB59B8D4}"/>
                </a:ext>
              </a:extLst>
            </xdr:cNvPr>
            <xdr:cNvSpPr txBox="1"/>
          </xdr:nvSpPr>
          <xdr:spPr>
            <a:xfrm>
              <a:off x="2667000" y="2003612"/>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𝑗𝑘𝑚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𝐹𝑟𝑎𝑐𝑊𝐸𝑇</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𝑀𝑆</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AE27FEE4-0164-41A7-98F4-32A3EB59B8D4}"/>
                </a:ext>
              </a:extLst>
            </xdr:cNvPr>
            <xdr:cNvSpPr txBox="1"/>
          </xdr:nvSpPr>
          <xdr:spPr>
            <a:xfrm>
              <a:off x="2667000" y="2003612"/>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𝑀𝑁𝐿𝑒𝑎𝑐ℎ_(𝑗𝑘𝑚=4)=𝑀𝑁_(𝑗𝑘𝑚=4,𝑇=2)×𝐹𝑟𝑎𝑐𝑊𝐸𝑇×𝐹𝑟𝑎𝑐𝐿𝐸𝐴𝐶𝐻_𝑀𝑆</a:t>
              </a:r>
              <a:endParaRPr lang="en-AU" sz="10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C26E4BE-2D0C-4093-8643-433605B448D5}"/>
                </a:ext>
              </a:extLst>
            </xdr:cNvPr>
            <xdr:cNvSpPr txBox="1"/>
          </xdr:nvSpPr>
          <xdr:spPr>
            <a:xfrm>
              <a:off x="2678766" y="10648949"/>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𝑗𝑘𝑚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C26E4BE-2D0C-4093-8643-433605B448D5}"/>
                </a:ext>
              </a:extLst>
            </xdr:cNvPr>
            <xdr:cNvSpPr txBox="1"/>
          </xdr:nvSpPr>
          <xdr:spPr>
            <a:xfrm>
              <a:off x="2678766" y="10648949"/>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𝐸_(𝑁2𝑂,𝑙𝑒𝑎𝑐ℎ)=𝑀𝑁𝐿𝑒𝑎𝑐ℎ_(𝑗𝑘𝑚=4)×𝐸𝐹_𝑙𝑒𝑎𝑐ℎ×𝐶_𝑁2𝑂×10^(−3)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45E423-8AAA-4520-9D38-9C1803DDFBF0}"/>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𝑀𝑀𝑆</m:t>
                                    </m:r>
                                  </m:sub>
                                </m:sSub>
                              </m:e>
                            </m:d>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0145E423-8AAA-4520-9D38-9C1803DDFBF0}"/>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𝑀𝑁𝑆𝑜𝑖𝑙_𝑠𝑐𝑜𝑝𝑒1=∑_𝑗▒∑_𝑚▒(𝑀𝑁_(𝑗𝑚,𝑇=2)×(1−𝐸𝐹_(𝑚𝑇=2)−𝐹𝑟𝑎𝑐𝐺𝐴𝑆𝑀_(𝑚𝑇=2) )−𝑀𝑁𝐿𝑒𝑎𝑐ℎ_𝑀𝑀𝑆 ) ×𝑃𝐹</a:t>
              </a:r>
              <a:endParaRPr lang="en-AU" sz="10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651DD1-146F-47B5-A93F-F543AB1CBF3D}"/>
                </a:ext>
              </a:extLst>
            </xdr:cNvPr>
            <xdr:cNvSpPr txBox="1"/>
          </xdr:nvSpPr>
          <xdr:spPr>
            <a:xfrm>
              <a:off x="2690812" y="316230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𝑀𝑀𝑆</m:t>
                                    </m:r>
                                  </m:sub>
                                </m:sSub>
                              </m:e>
                            </m:d>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4C651DD1-146F-47B5-A93F-F543AB1CBF3D}"/>
                </a:ext>
              </a:extLst>
            </xdr:cNvPr>
            <xdr:cNvSpPr txBox="1"/>
          </xdr:nvSpPr>
          <xdr:spPr>
            <a:xfrm>
              <a:off x="2690812" y="316230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881C4DB-2A94-40CF-AB06-0A0416858F31}"/>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𝑃𝑅𝑃</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0881C4DB-2A94-40CF-AB06-0A0416858F31}"/>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𝐸𝑀_(𝑁2𝑂,𝑃𝑅𝑃,𝑑𝑖𝑟)=∑_𝑗▒∑_𝑘▒(𝑀𝑁_(𝑗𝑘𝑚=14,𝑇=1)×𝐸𝐹_𝑃𝑅𝑃×𝐶_𝑁2𝑂 ) ×10^(−3)</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44B873E-A964-4241-842C-8EF4D4534BDE}"/>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A44B873E-A964-4241-842C-8EF4D4534BDE}"/>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𝑀_(𝑣𝑜𝑙,𝑚=14)=∑_𝑗▒∑_𝑘▒(𝑀𝑁_(𝑗𝑘𝑚=14,𝑇=1)×𝐹𝑟𝑎𝑐𝐺𝐴𝑆𝑀𝑠𝑜𝑖𝑙) </a:t>
              </a:r>
              <a:endParaRPr lang="en-AU" sz="10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9E2AA6B-9F97-49AC-BB0F-A11D970DC0B6}"/>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9E2AA6B-9F97-49AC-BB0F-A11D970DC0B6}"/>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𝐸_(𝑁2𝑂,𝑎𝑑)=𝑀_(𝑣𝑜𝑙,𝑚=14)×𝐸𝐹_𝑁2𝑂×𝐶_𝑁2𝑂×10^(−3)</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9E65F9C-EE7A-42CE-A333-80D7F29B5032}"/>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m:t>
                                    </m:r>
                                  </m:sub>
                                </m:sSub>
                                <m:r>
                                  <a:rPr lang="en-AU" sz="1000" i="1">
                                    <a:latin typeface="Cambria Math" panose="02040503050406030204" pitchFamily="18" charset="0"/>
                                  </a:rPr>
                                  <m:t>𝑆</m:t>
                                </m:r>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E9E65F9C-EE7A-42CE-A333-80D7F29B5032}"/>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𝑀_(𝑙𝑒𝑎𝑐ℎ,𝑚=14)=∑_𝑗▒∑_𝑘▒(𝑀𝑁_(𝑗𝑘𝑚=14,𝑇=1)×𝐹𝑟𝑎𝑐𝑊𝑒𝑡×𝐹𝑟𝑎𝑐𝐿𝐸𝐴𝐶𝐻_𝑀 𝑆) </a:t>
              </a:r>
              <a:endParaRPr lang="en-AU" sz="10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16BFD3B-2AC5-469C-8E0B-60F34DD0340C}"/>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316BFD3B-2AC5-469C-8E0B-60F34DD0340C}"/>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𝐸_(𝑁2𝑂,𝑙𝑒𝑎𝑐ℎ)=𝑀_(𝑙𝑒𝑎𝑐ℎ,𝑚=14)×𝐸𝐹_𝑙𝑒𝑎𝑐ℎ×𝐶_𝑁2𝑂×10^(−3)</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66193-ADB7-4943-86EC-39BFFFC7195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6366193-ADB7-4943-86EC-39BFFFC7195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9C028B6-05E8-43E6-820C-6DBF5FF4C4B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39C028B6-05E8-43E6-820C-6DBF5FF4C4B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A5275ED-1E21-4B37-80FF-E4419AFABE79}"/>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CA5275ED-1E21-4B37-80FF-E4419AFABE79}"/>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5B342A3-FC1E-45FF-BDAE-39575396246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25B342A3-FC1E-45FF-BDAE-39575396246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2F6F215-725B-44A6-BEBA-DAE0C70C4C0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2F6F215-725B-44A6-BEBA-DAE0C70C4C0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CB6D83-EC87-46C5-B5BC-1D5BCFC32B04}"/>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EDCB6D83-EC87-46C5-B5BC-1D5BCFC32B04}"/>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057652A-601B-4F11-A221-6A445827C383}"/>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1057652A-601B-4F11-A221-6A445827C383}"/>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35792AE-259B-438C-9DD6-F9DF9C97318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F35792AE-259B-438C-9DD6-F9DF9C97318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AF8BFC-437D-4D4C-8234-F646862EB74E}"/>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4AF8BFC-437D-4D4C-8234-F646862EB74E}"/>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0388766-12AF-4B90-87D1-544E41D2EF81}"/>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80388766-12AF-4B90-87D1-544E41D2EF81}"/>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DC48D85-34AC-42CD-9AD8-B679E23D6DB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DDC48D85-34AC-42CD-9AD8-B679E23D6DB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C0C5690-A176-42C5-B1AC-C38A0A05564B}"/>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0C0C5690-A176-42C5-B1AC-C38A0A05564B}"/>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C92258E-DC67-4B19-A115-66A6A6F3ABF2}"/>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C92258E-DC67-4B19-A115-66A6A6F3ABF2}"/>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A0C4900-8848-4455-9992-62EB6DB4CC50}"/>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4A0C4900-8848-4455-9992-62EB6DB4CC50}"/>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FA51553-6B46-4B0D-91C9-7ACB23668FE3}"/>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DFA51553-6B46-4B0D-91C9-7ACB23668FE3}"/>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5D6E880-B34B-4B1F-B6DC-CCD5527DC0DE}"/>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D5D6E880-B34B-4B1F-B6DC-CCD5527DC0DE}"/>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510834C-46E1-46C1-ABAA-35BBFAAFBDE2}"/>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0510834C-46E1-46C1-ABAA-35BBFAAFBDE2}"/>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9C3C732-F2E9-4A84-9C3F-1FFFB7EB95EC}"/>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49C3C732-F2E9-4A84-9C3F-1FFFB7EB95EC}"/>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29794631-B591-4E27-9A29-0BF467F540FA}"/>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29794631-B591-4E27-9A29-0BF467F540FA}"/>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8364072-448E-4EF8-9965-97867E762126}"/>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98364072-448E-4EF8-9965-97867E762126}"/>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FFB5784-0DD2-4C05-A76C-FB55AC396D37}"/>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4FFB5784-0DD2-4C05-A76C-FB55AC396D37}"/>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2CACF624-931B-493C-8668-DCA201792EB4}"/>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2CACF624-931B-493C-8668-DCA201792EB4}"/>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6A695AF-E0DA-45EA-8C09-5B61C1DEBE1A}"/>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36A695AF-E0DA-45EA-8C09-5B61C1DEBE1A}"/>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E8F2D85-AEBF-485E-BC8B-022357C001D0}"/>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9E8F2D85-AEBF-485E-BC8B-022357C001D0}"/>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6D027EC3-24EF-4D1C-A95B-F10D7A29EB3E}"/>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6D027EC3-24EF-4D1C-A95B-F10D7A29EB3E}"/>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D3E3BF0B-BEA6-405D-AD07-8F81579A4F47}"/>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D3E3BF0B-BEA6-405D-AD07-8F81579A4F47}"/>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61E0751A-917A-4985-A0D3-0E492D544EFE}"/>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61E0751A-917A-4985-A0D3-0E492D544EFE}"/>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711CD028-4E37-42E5-85F8-032C50557A67}"/>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711CD028-4E37-42E5-85F8-032C50557A67}"/>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B4D5DE55-7922-44C4-94C6-2A4976E26FFA}"/>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B4D5DE55-7922-44C4-94C6-2A4976E26FFA}"/>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33CF499-89B0-4C55-BCFE-039A4DF96FA2}"/>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233CF499-89B0-4C55-BCFE-039A4DF96FA2}"/>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09566554-7B26-4055-883E-DAE99DBF005E}"/>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09566554-7B26-4055-883E-DAE99DBF005E}"/>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90080B7B-359F-458C-B6CF-B8888A4B2AAE}"/>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90080B7B-359F-458C-B6CF-B8888A4B2AAE}"/>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2445452D-9739-48B6-AD41-2A7BB6B93975}"/>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2445452D-9739-48B6-AD41-2A7BB6B93975}"/>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D30FE1B-83D8-4003-958C-484593351653}"/>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4D30FE1B-83D8-4003-958C-484593351653}"/>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34F403-B534-4687-ABEB-3EEE186899F8}"/>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C634F403-B534-4687-ABEB-3EEE186899F8}"/>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2102244-2868-453D-A0BD-178F02619CE1}"/>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52102244-2868-453D-A0BD-178F02619CE1}"/>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9EDC632-5255-4822-84B0-1992F9C29150}"/>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09EDC632-5255-4822-84B0-1992F9C29150}"/>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43E556-CB57-49B0-AD42-14659589CD9E}"/>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1243E556-CB57-49B0-AD42-14659589CD9E}"/>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EBAD8EC-F784-4128-BCDB-261E201E77B7}"/>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EEBAD8EC-F784-4128-BCDB-261E201E77B7}"/>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BD2E7BA-3E00-4830-B3F0-110729CAD16B}"/>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ABD2E7BA-3E00-4830-B3F0-110729CAD16B}"/>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E57A58AA-5EB9-4E0C-B35D-AE267AC7E124}"/>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E57A58AA-5EB9-4E0C-B35D-AE267AC7E124}"/>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E3A5EFA-4F0A-4E8C-B3B9-C56DB49D0C5E}"/>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EE3A5EFA-4F0A-4E8C-B3B9-C56DB49D0C5E}"/>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31C6D5E1-6758-40E9-84F3-F9AD042C1F02}"/>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31C6D5E1-6758-40E9-84F3-F9AD042C1F02}"/>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0671133-1318-46EF-9E0F-A9FE45AF155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A0671133-1318-46EF-9E0F-A9FE45AF155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6CEEEFA-F87C-4440-B1A3-BD1FBCC331B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6CEEEFA-F87C-4440-B1A3-BD1FBCC331B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E2E2143-BFBA-4B5E-80CF-8FBC28CCEDBC}"/>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9E2E2143-BFBA-4B5E-80CF-8FBC28CCEDBC}"/>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DE5C610-3FB8-46ED-949D-DAD3FC65D7B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9DE5C610-3FB8-46ED-949D-DAD3FC65D7B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1487455-9FC0-4113-9C6F-01B4DA26B3B6}"/>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F1487455-9FC0-4113-9C6F-01B4DA26B3B6}"/>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3E27BA0-3F18-4AD4-A6AD-B20E1B66F324}"/>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93E27BA0-3F18-4AD4-A6AD-B20E1B66F324}"/>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35ABAD2-B9C5-4F94-ABF0-A59AF0169BF5}"/>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35ABAD2-B9C5-4F94-ABF0-A59AF0169BF5}"/>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D8B1B3-E36C-4B51-9A62-A2EA8A3470A1}"/>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BFD8B1B3-E36C-4B51-9A62-A2EA8A3470A1}"/>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31413C4-DC69-434F-B182-4FC543B16D39}"/>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931413C4-DC69-434F-B182-4FC543B16D39}"/>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9189846-D7F1-4517-B02A-81850BF14462}"/>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29189846-D7F1-4517-B02A-81850BF14462}"/>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13C3651-CF61-4F55-9F00-A8ECE548DD4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13C3651-CF61-4F55-9F00-A8ECE548DD4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1C8B912-C49E-498D-B2DA-6E3DC946611B}"/>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1C8B912-C49E-498D-B2DA-6E3DC946611B}"/>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25996BD-0BD6-4191-9625-0FE94E0C91B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025996BD-0BD6-4191-9625-0FE94E0C91B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A589295-0FC8-4FF9-9971-39E042ACD80B}"/>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2A589295-0FC8-4FF9-9971-39E042ACD80B}"/>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AA45EB5-2D6E-428D-A2A4-4AB9B040FF0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0AA45EB5-2D6E-428D-A2A4-4AB9B040FF0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22.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7B101C0-517A-4EEB-9308-34F12C13D06C}"/>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17B101C0-517A-4EEB-9308-34F12C13D06C}"/>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BFD7744-C35F-4159-B924-4AA613CCDE0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FBFD7744-C35F-4159-B924-4AA613CCDE0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9E12A1-7CA3-4683-AA19-44E038289830}"/>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DB9E12A1-7CA3-4683-AA19-44E038289830}"/>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8:G39" totalsRowShown="0">
  <autoFilter ref="D38:G39"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438"/>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FBB98C0-A83F-4D75-AF8A-0867DFCA6589}" name="Table_Input_LivestockPurchases_Poultry" displayName="Table_Input_LivestockPurchases_Poultry" ref="D6:H16" totalsRowShown="0">
  <autoFilter ref="D6:H16" xr:uid="{7DCBF554-869B-4226-8D02-B0F5F866C92B}"/>
  <tableColumns count="5">
    <tableColumn id="9" xr3:uid="{8D131DF1-1009-435F-9E57-62960D68780F}" name="Transaction name" dataCellStyle="Input text"/>
    <tableColumn id="11" xr3:uid="{016888F5-25C2-4751-98A4-72F1E1B30158}" name="Class (select)" dataDxfId="437" dataCellStyle="Input select"/>
    <tableColumn id="3" xr3:uid="{5589DC29-6277-4120-86DE-E9AB766580BC}" name="Quantity (head)" dataCellStyle="Input number general"/>
    <tableColumn id="12" xr3:uid="{58F404D3-DFB2-4CA6-8FC9-4F51E5C2A556}" name="Liveweight (kg/head) Method 1" dataCellStyle="Input number general calculated"/>
    <tableColumn id="4" xr3:uid="{3A1595E8-23C0-45D4-8D87-B7EA23552C7D}"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BD51EBF4-05DB-4F7E-9D7A-48EA355C4183}" name="Table_Input_Fuel" displayName="Table_Input_Fuel" ref="D16:J21" totalsRowDxfId="43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DB2DBC27-3FE7-4B5A-9CAF-56F725AA445F}" name="Fuel use (select)" totalsRowFunction="average" totalsRowDxfId="435" dataCellStyle="Input select" totalsRowCellStyle="Input select"/>
    <tableColumn id="3" xr3:uid="{A277BCC5-45CC-4D46-9D33-C11C722762BA}" name="Fuel type (select)" totalsRowDxfId="434" dataCellStyle="Input select" totalsRowCellStyle="Input select"/>
    <tableColumn id="4" xr3:uid="{6BB9C751-8809-4134-9EDE-B3608796BD7E}" name="Amount purchased" totalsRowDxfId="433" totalsRowCellStyle="Content bold"/>
    <tableColumn id="6" xr3:uid="{C60579C1-0DE0-4587-84C0-B38E4C516515}" name="Amount unit" totalsRowDxfId="432" dataCellStyle="Input number general calculated" totalsRowCellStyle="Input text calculated"/>
    <tableColumn id="5" xr3:uid="{11D7DFF1-014E-450D-BADE-C7C13D9B73E6}" name="Percent consumed" totalsRowDxfId="431" totalsRowCellStyle="Input percent">
      <calculatedColumnFormula>1</calculatedColumnFormula>
    </tableColumn>
    <tableColumn id="1" xr3:uid="{3983496C-E9E2-41B3-B16C-0D81FFAEEC19}" name="Amount consumed" totalsRowFunction="custom" totalsRowDxfId="430"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2FA84151-03E1-4F5C-9C5F-A235EEFBC596}" name="Amount consumed unit" totalsRowDxfId="429"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773AACF-0910-4754-B6BA-FC3353377EF3}"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11DD5FB9-61EB-4458-8E22-E7D1A7C999D6}" name="Description"/>
    <tableColumn id="5" xr3:uid="{53CF0FB6-A109-422E-87EC-0901C09A296D}" name="Source (select)" dataCellStyle="Input select"/>
    <tableColumn id="2" xr3:uid="{3CC66F6A-A132-48F9-95C3-37320C2B4601}" name="Generation date" dataDxfId="428"/>
    <tableColumn id="3" xr3:uid="{D0CBC73D-83D7-408D-A237-946DA6015475}" name="Number of certificates"/>
    <tableColumn id="4" xr3:uid="{D6E410E2-BF42-4405-A22B-CD3931B65E59}" name="MWh" dataCellStyle="Input number general calculated">
      <calculatedColumnFormula>Table_Input_RECSurrendered[[#This Row],[Number of certificates]]</calculatedColumnFormula>
    </tableColumn>
    <tableColumn id="7" xr3:uid="{5B305560-4ECE-4F11-9B07-67763A788B72}"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C4241F4-F7E9-496F-A29D-9B151EA8DDD0}"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60E0A6B-3E8A-4E7E-874E-E750C702DC3E}" name="Description"/>
    <tableColumn id="5" xr3:uid="{08B6A6A1-4BD7-4F2C-85F8-1A775C09F89B}" name="Source" dataCellStyle="Input text calculated">
      <calculatedColumnFormula>"Issued for generated electricity"</calculatedColumnFormula>
    </tableColumn>
    <tableColumn id="2" xr3:uid="{1B0BF2A4-E59B-4A02-93D1-6C3D6B80EA53}" name="Generation date" dataDxfId="427"/>
    <tableColumn id="3" xr3:uid="{D3E15939-B9F7-4ADD-8142-4DF78CE4DA8C}" name="Number of certificates"/>
    <tableColumn id="4" xr3:uid="{6D22399E-97AF-4981-83EC-22A6EC95D57E}" name="MWh" dataCellStyle="Input number general calculated">
      <calculatedColumnFormula>Table_Input_RECConsumedByEntity[[#This Row],[Number of certificates]]</calculatedColumnFormula>
    </tableColumn>
    <tableColumn id="7" xr3:uid="{2EB8BF97-F1B1-424B-B348-D7DBB0DCDBE5}"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B8C13A2-175C-4671-B40A-BFB05E72559A}"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83847714-D1A4-4228-8DBC-8CA716690614}" name="Product name" dataCellStyle="Input text"/>
    <tableColumn id="1" xr3:uid="{10D587CD-E6B3-4120-A8BA-041CBB478092}" name="Type (select)" dataCellStyle="Input select"/>
    <tableColumn id="2" xr3:uid="{E2B1592D-2D40-4572-9930-A73EF03B7A86}" name="Quantity purchased (kg)" dataCellStyle="Input number general"/>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8BAB5D7-1461-4FD0-86A3-6A905F36E662}"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B5907F8D-1DFB-4EFF-8F94-EE23039EF392}" name="Product / service name" dataCellStyle="Input text"/>
    <tableColumn id="2" xr3:uid="{2BDF6D76-989A-4856-BB85-CD9D2CEE75F0}" name="Amount" dataCellStyle="Input number general"/>
    <tableColumn id="3" xr3:uid="{91BCE1CD-C6FA-4724-94F5-AE7317CA2707}" name="Amount unit" dataCellStyle="Input tex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2ED3EA7B-0212-4B13-AE02-343343158354}"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C83848BB-4C50-48E8-B952-B13ED304A914}" name="Service provider / contractor" dataCellStyle="Input text"/>
    <tableColumn id="4" xr3:uid="{184DCBD6-CDFE-4323-B9AA-CEAA6975C0AE}" name="Activity" dataCellStyle="Input text"/>
    <tableColumn id="2" xr3:uid="{C2F42550-A21E-415B-B5A3-F19B80E11816}" name="Total amount" dataCellStyle="Input number general"/>
    <tableColumn id="3" xr3:uid="{931A5D22-0066-4251-83B4-EDF7B1C51122}" name="Amount unit" dataCellStyle="Input selec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B0381884-870B-4BAE-933B-48667158EB0C}" name="Table_Input_FeedBlends" displayName="Table_Input_FeedBlends" ref="D18:Q28" totalsRowShown="0">
  <autoFilter ref="D18:Q28" xr:uid="{6EC3622A-9CA1-4931-8AAA-6FC289090D20}"/>
  <tableColumns count="14">
    <tableColumn id="1" xr3:uid="{B18FC882-D66D-4DAD-9BC1-AED129CE24BA}" name="Feed blend name" dataCellStyle="Input text"/>
    <tableColumn id="2" xr3:uid="{044D56FF-C89B-474B-B835-FF5A0B69D566}" name="Amount fed (kg)"/>
    <tableColumn id="4" xr3:uid="{05F65870-17B1-4F1D-AAA7-6B226ECD01CF}" name="Ingredient 1 (select)" dataCellStyle="Input select"/>
    <tableColumn id="3" xr3:uid="{3E2B8520-9E97-4A49-A4A7-32831FB6907A}" name="Ingredient 1 source region" dataCellStyle="Input select"/>
    <tableColumn id="5" xr3:uid="{6CA3A593-31D5-4708-9387-9870058480B8}" name="Ingredient 1 percent"/>
    <tableColumn id="6" xr3:uid="{5E4BA649-936A-42D8-882B-D8AC8AA3CAC8}" name="Ingredient 2 (select)" dataCellStyle="Input select"/>
    <tableColumn id="14" xr3:uid="{3B443769-D0F6-424C-9DA3-ABB65FA4535C}" name="Ingredient 2 source region" dataCellStyle="Input select"/>
    <tableColumn id="7" xr3:uid="{D831E369-4AE1-4D68-BB66-925791D0D8CD}" name="Ingredient 2 percent"/>
    <tableColumn id="8" xr3:uid="{4DE1FCAB-A6C6-4CB1-9097-F6FA3AD0FBDE}" name="Ingredient 3 (select)" dataCellStyle="Input select"/>
    <tableColumn id="15" xr3:uid="{1116F641-A8BA-4E10-A537-7BD0C361A0E2}" name="Ingredient 3 source region" dataCellStyle="Input select"/>
    <tableColumn id="9" xr3:uid="{E385F1BD-1E7E-437B-8AED-97944759D5B3}" name="Ingredient 3 percent"/>
    <tableColumn id="10" xr3:uid="{342E7D1B-2D1C-4947-AF1D-09D568D74B15}" name="Ingredient 4 (select)" dataCellStyle="Input select"/>
    <tableColumn id="16" xr3:uid="{6C0CF83B-F71B-43A9-92A4-13E0977DA93F}" name="Ingredient 4 source region" dataCellStyle="Input select"/>
    <tableColumn id="11" xr3:uid="{C516A40D-8525-4C2C-AF9E-E5D291B65941}"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948F637B-E6C8-4747-91B3-D8F52A46A100}" name="Table_Input_ChemicalsPharmacy" displayName="Table_Input_ChemicalsPharmacy" ref="D32:F42" totalsRowShown="0" headerRowCellStyle="Input table column header">
  <autoFilter ref="D32:F42" xr:uid="{F7DA8543-C7DE-49A8-A739-D82C85B7B828}"/>
  <tableColumns count="3">
    <tableColumn id="3" xr3:uid="{8776DFB8-6D05-4A69-809A-0F37DB4DC00E}" name="Product name" dataCellStyle="Input text"/>
    <tableColumn id="1" xr3:uid="{C35F7D10-9B07-4FF9-8ED6-36781FA44AA6}" name="Type (select)" dataDxfId="426" dataCellStyle="Input select"/>
    <tableColumn id="2" xr3:uid="{C4A704A4-0587-445D-BE79-1B358F3B8BE6}" name="Number of head treated" dataDxfId="425"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FA18227E-9675-4B86-89B2-BE9FC5DE3B7F}"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EC61CE97-51DE-4213-BAE5-8FD53BF450D1}" name="Route name" dataCellStyle="Input text"/>
    <tableColumn id="2" xr3:uid="{A482DA23-DED6-49FA-8CF2-80F53FD2ED65}" name="Freight type (select)" dataCellStyle="Input select"/>
    <tableColumn id="3" xr3:uid="{F502D5A6-9C7C-4788-88D5-8267A7271F99}" name="Route distance (km)"/>
    <tableColumn id="4" xr3:uid="{5E79BE77-5CD5-4011-BBD5-197FCFA89F40}" name="Average weight of freight per trip (t)"/>
    <tableColumn id="5" xr3:uid="{53DB63CF-53AD-4279-B548-A0F0F4A30AB1}" name="Number of trips take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94B64821-6A57-4279-A4D5-A1968E8AE29E}"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41713B0E-3409-41EB-B1DF-277456BB0F47}" name="Route name" dataCellStyle="Input text"/>
    <tableColumn id="2" xr3:uid="{5F752A59-A524-4B31-B41E-DDCF768C00DB}" name="Freight type (select)" dataCellStyle="Input select"/>
    <tableColumn id="3" xr3:uid="{6692F26B-E78F-4784-9F78-562629340C0A}" name="Route distance (km)"/>
    <tableColumn id="4" xr3:uid="{BD407DDE-4C17-4FB2-8BEB-7A6506A8A32F}" name="Average weight of freight per trip (t)"/>
    <tableColumn id="5" xr3:uid="{B58324D6-2E2A-4057-BA10-36044F7ACD92}"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29AB6EBE-ADAF-406A-B3A7-859D73A02E5E}"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BF00F612-6A74-48D0-9C96-29AC1463AEFF}" name="Description" dataCellStyle="Input text"/>
    <tableColumn id="5" xr3:uid="{0F485CA0-8541-4217-BAFF-672FF7440DB8}" name="Treatment type (select)" dataCellStyle="Input select"/>
    <tableColumn id="2" xr3:uid="{E956AD78-CE91-4B46-8B01-E0416C90FF7D}" name="Waste type (select)" dataCellStyle="Input select"/>
    <tableColumn id="3" xr3:uid="{4F5C93A2-C103-42A4-9D53-60B1CEF6A087}" name="Treatment location (select)" dataCellStyle="Input select"/>
    <tableColumn id="4" xr3:uid="{D75EF96F-9A27-42FC-91ED-839CD5835B8C}" name="Amount" dataCellStyle="Input number general"/>
    <tableColumn id="7" xr3:uid="{653D009A-2AA5-4971-B9A5-FD2FAC27F8A9}" name="Amount unit (select)" dataCellStyle="Input selec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424"/>
    <tableColumn id="6" xr3:uid="{1219F6AC-7C79-4EDD-8C55-F7A78277AE3F}" name="Evidence files" dataDxfId="423"/>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22"/>
    <tableColumn id="6" xr3:uid="{73F97399-8A3B-4EFB-9481-CBD7CB1C44EB}" name="Evidence files" dataDxfId="421"/>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8" totalsRowShown="0" headerRowCellStyle="Input table column header">
  <autoFilter ref="D30:J38"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20"/>
    <tableColumn id="6" xr3:uid="{865FA280-4A36-4101-BD09-20356916B4D5}" name="Evidence files" dataDxfId="419"/>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4:J48" totalsRowShown="0" headerRowCellStyle="Input table column header">
  <autoFilter ref="D44:J48"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18"/>
    <tableColumn id="6" xr3:uid="{690D112F-6792-478E-99EE-B77B520B2164}" name="Evidence files" dataDxfId="417"/>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4:J59" totalsRowShown="0" headerRowCellStyle="Input table column header">
  <autoFilter ref="D54:J59"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16"/>
    <tableColumn id="6" xr3:uid="{16D79CDB-80AA-4F28-B5E0-282205F97C41}" name="Evidence files" dataDxfId="415"/>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D9C81A-FF4D-4195-B406-7027A207670D}"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E2544CA-3EEA-4EA9-BF8B-D0108D70B03C}"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66C82088-0614-493E-949F-4CD423E30B73}" name="Layers" dataDxfId="4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84FC5DE-5BE6-4C64-8A5B-44F67BECCB09}" name="Meat chicken growers" dataDxfId="41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C6D452F-99C2-446C-A2D5-97692F19C52F}" name="Meat chicken breeder" dataDxfId="41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D0A85F7A-22BE-4E0E-9F28-00B458634B4E}" name="Meat other" dataDxfId="411"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22862-09F0-4294-AD78-B0DEB387FD1B}"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CB115A47-18FB-4F46-A93F-1E2F8BB43DA9}"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0E08E76B-7599-4F43-8D40-9DE3ACE75526}" name="B0" dataDxfId="410"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5A461BF-075A-48F6-B2E5-E5CD27D26BEE}" name="Table_SourceData_PoultryMMS" displayName="Table_SourceData_PoultryMMS" ref="D28:E38" totalsRowShown="0">
  <autoFilter ref="D28:E38" xr:uid="{AF7090B5-6718-41B7-9B26-A00EDB46BAC3}">
    <filterColumn colId="0" hiddenButton="1"/>
    <filterColumn colId="1" hiddenButton="1"/>
  </autoFilter>
  <tableColumns count="2">
    <tableColumn id="1" xr3:uid="{B08AC639-81F0-4599-8338-2B3569D00F2A}" name="MMS"/>
    <tableColumn id="2" xr3:uid="{9AAB7053-785F-470E-A203-9003B07A6463}" name="Symbol and MMS" dataDxfId="409" dataCellStyle="Content normal"/>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C609167-F954-4E46-B630-D31135CB6B03}" name="Table_SourceData_Poultry_ProductionSystems" displayName="Table_SourceData_Poultry_ProductionSystems" ref="D44:D47" totalsRowShown="0">
  <autoFilter ref="D44:D47" xr:uid="{5810106E-36C6-489E-8962-5DE08C5F2EAC}">
    <filterColumn colId="0" hiddenButton="1"/>
  </autoFilter>
  <tableColumns count="1">
    <tableColumn id="1" xr3:uid="{92EEDE35-128F-40E5-A5C3-C1EDDF6D5FE3}"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5B3BEBA-CD37-48F6-B2EB-D1F4FE11D129}"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B0C6B4F-C9D2-4BE7-8D1E-C973D428D722}" name="MMS m">
      <calculatedColumnFormula array="1">Common_InputFunctions.Utility_DisplayArrayInTable(SourceData_Poultry.SourceData_Poultry_MCF_Data(), Table_SourceData_Poultry_MMSMCF[[#Headers],[MMS m]], 0)</calculatedColumnFormula>
    </tableColumn>
    <tableColumn id="2" xr3:uid="{F26A79A2-743F-42BF-9267-16F0EBCDB07C}" name="All states" dataDxfId="408" dataCellStyle="Content normal">
      <calculatedColumnFormula array="1">Common_InputFunctions.Utility_DisplayArrayInTable(SourceData_Poultry.SourceData_Poultry_MCF_Data(), Table_SourceData_Poultry_MMSMCF[[#Headers],[MMS m]], 0)</calculatedColumnFormula>
    </tableColumn>
    <tableColumn id="3" xr3:uid="{2186BD7C-F48D-4003-A805-405E2C16E6A9}" name="NSW" dataDxfId="407" dataCellStyle="Content normal">
      <calculatedColumnFormula array="1">Common_InputFunctions.Utility_DisplayArrayInTable(SourceData_Poultry.SourceData_Poultry_MCF_Data(), Table_SourceData_Poultry_MMSMCF[[#Headers],[MMS m]], 0)</calculatedColumnFormula>
    </tableColumn>
    <tableColumn id="4" xr3:uid="{3F4581DE-6563-4B57-97FD-BA820975A57D}" name="ACT" dataDxfId="406" dataCellStyle="Content normal">
      <calculatedColumnFormula array="1">Common_InputFunctions.Utility_DisplayArrayInTable(SourceData_Poultry.SourceData_Poultry_MCF_Data(), Table_SourceData_Poultry_MMSMCF[[#Headers],[MMS m]], 0)</calculatedColumnFormula>
    </tableColumn>
    <tableColumn id="5" xr3:uid="{ECDFCBBD-71C0-4A77-9F52-C6700D54571A}" name="QLD" dataDxfId="405" dataCellStyle="Content normal">
      <calculatedColumnFormula array="1">Common_InputFunctions.Utility_DisplayArrayInTable(SourceData_Poultry.SourceData_Poultry_MCF_Data(), Table_SourceData_Poultry_MMSMCF[[#Headers],[MMS m]], 0)</calculatedColumnFormula>
    </tableColumn>
    <tableColumn id="6" xr3:uid="{E782BB98-F3FA-46A7-A059-190677CBE252}" name="NT" dataDxfId="404" dataCellStyle="Content normal">
      <calculatedColumnFormula array="1">Common_InputFunctions.Utility_DisplayArrayInTable(SourceData_Poultry.SourceData_Poultry_MCF_Data(), Table_SourceData_Poultry_MMSMCF[[#Headers],[MMS m]], 0)</calculatedColumnFormula>
    </tableColumn>
    <tableColumn id="7" xr3:uid="{FC346859-4655-4FD6-A633-CC04CDFB8070}" name="VIC" dataDxfId="403" dataCellStyle="Content normal">
      <calculatedColumnFormula array="1">Common_InputFunctions.Utility_DisplayArrayInTable(SourceData_Poultry.SourceData_Poultry_MCF_Data(), Table_SourceData_Poultry_MMSMCF[[#Headers],[MMS m]], 0)</calculatedColumnFormula>
    </tableColumn>
    <tableColumn id="8" xr3:uid="{4DB50F25-4DD1-4132-9DFF-8B7637F23314}" name="SA" dataDxfId="402" dataCellStyle="Content normal">
      <calculatedColumnFormula array="1">Common_InputFunctions.Utility_DisplayArrayInTable(SourceData_Poultry.SourceData_Poultry_MCF_Data(), Table_SourceData_Poultry_MMSMCF[[#Headers],[MMS m]], 0)</calculatedColumnFormula>
    </tableColumn>
    <tableColumn id="9" xr3:uid="{0243A828-D92B-4C50-8350-97DF8B0A2930}" name="WA" dataDxfId="401" dataCellStyle="Content normal">
      <calculatedColumnFormula array="1">Common_InputFunctions.Utility_DisplayArrayInTable(SourceData_Poultry.SourceData_Poultry_MCF_Data(), Table_SourceData_Poultry_MMSMCF[[#Headers],[MMS m]], 0)</calculatedColumnFormula>
    </tableColumn>
    <tableColumn id="10" xr3:uid="{5A34BC1C-C39A-49B7-A40B-5CFB73E96F12}" name="TAS" dataDxfId="400" dataCellStyle="Content normal">
      <calculatedColumnFormula array="1">Common_InputFunctions.Utility_DisplayArrayInTable(SourceData_Poultry.SourceData_Poultry_MCF_Data(), Table_SourceData_Poultry_MMSMCF[[#Headers],[MMS m]], 0)</calculatedColumnFormula>
    </tableColumn>
    <tableColumn id="11" xr3:uid="{65F04D39-B473-4256-900D-2D8D6D6C6E3E}" name="NIR definition" dataDxfId="399"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E5670CB-306B-4FAB-8B7B-53324F8E0FBB}"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3BD2A51A-E42E-41AB-9297-4F12DCB3CE1C}" name="MMS"/>
    <tableColumn id="2" xr3:uid="{4049589D-F61C-4C10-B429-48023616BE83}" name="Symbol and MMS" dataDxfId="398" dataCellStyle="Content normal"/>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059F1F5-1E0B-492C-9427-012B4BC8BEE1}"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7E760061-38BA-4958-823D-108044A5C52D}" name="MMS"/>
    <tableColumn id="2" xr3:uid="{33E01BFC-35F1-41F2-92E9-898B20C49F36}" name="Symbol and MMS" dataDxfId="397"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1DA08E1-2984-4380-94F7-CAA282F10457}"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CABD3E77-BD74-42D8-95AD-7933E37DA5E6}" name="MMS">
      <calculatedColumnFormula array="1">Common_InputFunctions.Utility_DisplayArrayInTable(SourceData_Poultry.SourceData_Poultry_VSL_Data(), Table_SourceData_Poultry_MMSVSL[[#Headers],[MMS]], 0)</calculatedColumnFormula>
    </tableColumn>
    <tableColumn id="2" xr3:uid="{E5471452-DE32-4820-8168-2EBECEAFBB5E}" name="VSL" dataDxfId="396" dataCellStyle="Content normal">
      <calculatedColumnFormula array="1">Common_InputFunctions.Utility_DisplayArrayInTable(SourceData_Poultry.SourceData_Poultry_VSL_Data(), Table_SourceData_Poultry_MMSVSL[[#Headers],[MMS]], 0)</calculatedColumnFormula>
    </tableColumn>
    <tableColumn id="3" xr3:uid="{3EE0A5FA-15BB-4061-9FE9-195B2AB54406}" name="NIR definition" dataDxfId="395"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5CCC517-C4E5-43F9-8535-CE02620E5DBD}"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8941A1D3-E5BD-45F4-A953-82EC2AB7138A}" name="MMSm">
      <calculatedColumnFormula array="1">Common_InputFunctions.Utility_DisplayArrayInTable(SourceData_Poultry.SourceData_Poultry_FracGASMmT_Data(), Table_SourceData_Poultry_FracGASM[[#Headers],[MMSm]], 0)</calculatedColumnFormula>
    </tableColumn>
    <tableColumn id="2" xr3:uid="{9284CDDC-752E-4FE6-9ADD-199064634C77}" name="FracGASMmT" dataDxfId="394" dataCellStyle="Content normal">
      <calculatedColumnFormula array="1">Common_InputFunctions.Utility_DisplayArrayInTable(SourceData_Poultry.SourceData_Poultry_FracGASMmT_Data(), Table_SourceData_Poultry_FracGASM[[#Headers],[MMSm]], 0)</calculatedColumnFormula>
    </tableColumn>
    <tableColumn id="3" xr3:uid="{2B32BAC6-72AD-4E34-8723-799C1B2DDA18}" name="NIR reference" dataDxfId="393"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6886199-3552-4947-B421-10C6A0943631}"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0707FC81-AAE4-4D55-A435-3B6C7F18688E}" name="MMSm">
      <calculatedColumnFormula array="1">Common_InputFunctions.Utility_DisplayArrayInTable(SourceData_Poultry.SourceData_Poultry_EFmT_Data(),Table_SourceData_Poultry_EFmT[[#Headers],[MMSm]], 0)</calculatedColumnFormula>
    </tableColumn>
    <tableColumn id="2" xr3:uid="{DFA27468-5815-477D-8328-92B7A3C8B57C}" name="EFmT" dataDxfId="392" dataCellStyle="Content normal">
      <calculatedColumnFormula array="1">Common_InputFunctions.Utility_DisplayArrayInTable(SourceData_Poultry.SourceData_Poultry_EFmT_Data(),Table_SourceData_Poultry_EFmT[[#Headers],[MMSm]], 0)</calculatedColumnFormula>
    </tableColumn>
    <tableColumn id="3" xr3:uid="{137647F7-2E92-4A22-8EE0-E8A40B1A3150}" name="NIR reference" dataDxfId="391"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681B49E-06FE-42CF-9366-9468947213B5}"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0BAF4D72-199F-4643-B00A-A34D3D294654}" name="Livestock class j">
      <calculatedColumnFormula array="1">Common_InputFunctions.Utility_DisplayArrayInTable(SourceData_Poultry.SourceData_Poultry_Liveweights_Data(),Table_SourceData_Poultry_Liveweights[[#Headers],[Livestock class j]],0)</calculatedColumnFormula>
    </tableColumn>
    <tableColumn id="2" xr3:uid="{9BB0B746-D0F5-47BB-942B-5FCCDA9FFCC9}" name="Average liveweight (kg)" dataDxfId="390"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DF079C3-7C8C-433E-833B-0FF542EF377F}" name="Table_SourceData_Poultry_CropProdSystems" displayName="Table_SourceData_Poultry_CropProdSystems" ref="G44:G46" totalsRowShown="0">
  <autoFilter ref="G44:G46" xr:uid="{8EDB544D-AFFC-41EF-8AD9-9AD07200476D}"/>
  <tableColumns count="1">
    <tableColumn id="1" xr3:uid="{6802DE58-DF98-4078-9998-26DCFA58AB41}" name="Production system">
      <calculatedColumnFormula>#REF!</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104784C-18B5-4486-805B-E76514B2B735}" name="Table_SourceData_Poultry_IrrigationMethods" displayName="Table_SourceData_Poultry_IrrigationMethods" ref="J44:J49" totalsRowShown="0">
  <autoFilter ref="J44:J49" xr:uid="{C0841426-764B-45EC-B52F-AFA2B3E2A193}"/>
  <tableColumns count="1">
    <tableColumn id="1" xr3:uid="{EF3AF0AF-3317-4A03-9089-93B4C339B2A1}" name="Irrigation method"/>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7859E482-0ABA-4448-9B0F-3896FFC2B87C}"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C533854-19C5-498F-BBA5-ACFDBC75629B}" name="Symbol">
      <calculatedColumnFormula array="1">Common_InputFunctions.Utility_DisplayArrayInTable(CommonLivestock_SourceData.SourceData_Livestock_Common_SymbolsMMS_Data(), Table_Data_MMSSymbols[[#Headers],[Symbol]], 0)</calculatedColumnFormula>
    </tableColumn>
    <tableColumn id="2" xr3:uid="{B0BEBAB8-B68B-4540-B0CE-886F5FAD549E}" name="Manure management system">
      <calculatedColumnFormula array="1">Common_InputFunctions.Utility_DisplayArrayInTable(CommonLivestock_SourceData.SourceData_Livestock_Common_SymbolsMMS_Data(), Table_Data_MMSSymbols[[#Headers],[Symbol]], 0)</calculatedColumnFormula>
    </tableColumn>
    <tableColumn id="3" xr3:uid="{FD5104B6-6F53-4F8B-B976-5D1D9A7BFC83}"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FB2D316-2E5B-43D8-9416-2CE7076ABB49}" name="Table_SourceData_ElectricityEFs" displayName="Table_SourceData_ElectricityEFs" ref="D9:F19" totalsRowShown="0" headerRowDxfId="389">
  <autoFilter ref="D9:F19" xr:uid="{3144A982-7A4D-4CF2-8790-1A30DAE3E0A4}">
    <filterColumn colId="0" hiddenButton="1"/>
    <filterColumn colId="1" hiddenButton="1"/>
    <filterColumn colId="2" hiddenButton="1"/>
  </autoFilter>
  <tableColumns count="3">
    <tableColumn id="1" xr3:uid="{983ACEB0-46A9-4D11-BDE2-6B45EAA35464}"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CEBBCC94-F950-4BE1-BB41-D1AC33068FCA}"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6CB2240D-116D-46C6-B87D-8E4F0DB66C2B}"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DEDB0AE-4149-40EA-9927-15B15DB298AB}"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30767259-42F2-46D5-9EFE-39E068F1643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41491F3F-80ED-4303-868F-49998623FA62}"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5CC65265-C80D-45F6-9845-65BAE48D655D}"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B70E6F81-4B64-4CB2-8620-AA0EE3AFAB52}"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98636A80-18D4-4BA8-B7CA-53194EEF124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1C91452-8CA3-44DF-89F5-99C722538383}"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48B71B49-8F65-4EAA-82AF-84062CD327A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099B9F43-2CF5-4AF5-A140-9F620FCAA911}" name="FNinorganic f">
      <calculatedColumnFormula array="1">Common_InputFunctions.Utility_DisplayArrayInTable(Fertiliser_SourceData.Fertiliser_ChemicalCompoundElements_Data(),Table_Fertiliser_ChemicalCompounds[[#Headers],[Fertiliser type f]], 0)</calculatedColumnFormula>
    </tableColumn>
    <tableColumn id="3" xr3:uid="{3D20A86F-FB38-4546-914E-8D5A48D8F52F}" name="FU f">
      <calculatedColumnFormula array="1">Common_InputFunctions.Utility_DisplayArrayInTable(Fertiliser_SourceData.Fertiliser_ChemicalCompoundElements_Data(),Table_Fertiliser_ChemicalCompounds[[#Headers],[Fertiliser type f]], 0)</calculatedColumnFormula>
    </tableColumn>
    <tableColumn id="4" xr3:uid="{55A3CE82-72A5-464B-A1F8-02752295E408}" name="Basis">
      <calculatedColumnFormula array="1">Common_InputFunctions.Utility_DisplayArrayInTable(Fertiliser_SourceData.Fertiliser_ChemicalCompoundElements_Data(),Table_Fertiliser_ChemicalCompounds[[#Headers],[Fertiliser type f]], 0)</calculatedColumnFormula>
    </tableColumn>
    <tableColumn id="5" xr3:uid="{915FE943-06CF-4E6B-81F8-06A41EA0F227}"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7D4D8D9-FC04-49B3-8AAE-8179D887F1B2}"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F0F71300-53CC-4514-9859-03DF486AC074}"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46C03925-9458-419D-BE3A-D4BBE0891806}" name="Company" totalsRowFunction="custom" totalsRowDxfId="388">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5136258B-5628-47C4-9DBA-2F9FA0FD687E}"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FC715BA3-F494-4505-8D1B-D09B23328B06}"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FF716538-21D5-464F-9286-216EF6B46349}"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B293359B-1343-4B3A-9E7E-86A4579D2996}"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CC6EE029-B275-4591-9912-65AEC9398C4E}"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7D842154-A092-4D0C-A117-B95A846D73CB}"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1BA19C3E-1593-4F5B-A0EC-E87B8FCF627D}"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2646923A-CB01-495D-A205-017054792BE2}"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63102FED-6ED6-4F3F-9118-EE645662AFC6}"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920384D0-97D9-460C-B154-6BD7E6455C1D}"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A1861583-F5E9-43F5-BB29-A63FBCF30FAE}" name="Ingredient 1" totalsRowFunction="custom" totalsRowCellStyle="Content normal">
      <totalsRowFormula array="1">Common_InputFunctions.Utility_DisplayArrayInTable(Fertiliser_SourceData.Fertiliser_Products_Data3(), FertiliserProducts[[#Headers],[Company]],61)</totalsRowFormula>
    </tableColumn>
    <tableColumn id="22" xr3:uid="{1CFDC033-8A53-4C32-AF59-4B924E147BE2}"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C718F1A4-989C-47D6-85A6-A7816C2BA69A}"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CAA29B85-D331-4D12-A9B5-A06F5782C74C}"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626878AA-148B-4E3E-B98D-82FC314962E2}"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B433E716-E19B-49D7-8586-9D72DBA655BF}"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FBAC48A7-DC86-42CC-ACFF-F95DF8C893DB}"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54EBAA98-AF1F-4B05-A9A1-0E5E95E4B82F}"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9930158F-16C9-4E7A-865A-4302C188C520}"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3B0B44DA-373F-4B71-BC13-44245FA66085}"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10887D86-8986-48E0-97A4-972B6D0D3C4E}"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EB59D2D8-C8F0-4F1F-B091-21F8DBBE4575}"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BEEF6AF2-74E9-48B7-8CB0-92B467F438DD}"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3B2374A0-BA9A-48F2-97BA-F1566DF4F562}"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B458C929-FA22-4414-862A-B300EE0B6DF2}"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183118A6-0458-4FC7-861C-FEB74551E0E7}"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9C3F15EC-BF1B-4786-BF48-2759CF9B85C7}"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F1C10D55-03D2-4D4F-8DB8-D899E1142CCE}"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32E3E587-9682-4FA2-9B3F-50DD88012461}"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BD145ECB-E9E6-425D-884A-36F03516FEB4}" name="Ingredient 10 percent" totalsRowCellStyle="Content normal"/>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985E740-899B-4FE7-B71B-96269C55EC15}"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F6AB1328-B53D-46C4-AB3F-451445549C0C}" name="Fertiliser type f">
      <calculatedColumnFormula array="1">Common_InputFunctions.Utility_DisplayArrayInTable(Fertiliser_SourceData.Fertiliser_FracGASF_Data(), Table_SourceData_Fertiliser_FracGASF[[#Headers],[Fertiliser type f]], 0)</calculatedColumnFormula>
    </tableColumn>
    <tableColumn id="2" xr3:uid="{8A2D726C-B0E9-4A70-9938-DFF01D2285E1}" name="FracGASF f" dataDxfId="387"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19847C6-0680-4FED-8875-421B19EB1E36}" name="Table_SourceData_Fertiliser_CropProdSystems" displayName="Table_SourceData_Fertiliser_CropProdSystems" ref="D41:D43" totalsRowShown="0">
  <autoFilter ref="D41:D43" xr:uid="{24F3A11E-40F5-4BB9-BFF4-A71FA2ADA0EF}">
    <filterColumn colId="0" hiddenButton="1"/>
  </autoFilter>
  <tableColumns count="1">
    <tableColumn id="1" xr3:uid="{16085B43-AF82-4D4D-A9C8-1D4809192126}" name="Production system">
      <calculatedColumnFormula>#REF!</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A2A1E36-58F8-47C0-9609-27C7CA810B42}"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0BB93C3-7C76-4273-9E57-30095020873F}" name="Irrigation method"/>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F157A3A-6A51-4EB7-9316-11C7EF844960}" name="Table_SourceData_Fertiliser_CropTypes" displayName="Table_SourceData_Fertiliser_CropTypes" ref="F41:F45" totalsRowShown="0">
  <autoFilter ref="F41:F45" xr:uid="{CB5044B5-FA3C-4AA2-B1AB-72F7E61D072F}">
    <filterColumn colId="0" hiddenButton="1"/>
  </autoFilter>
  <tableColumns count="1">
    <tableColumn id="1" xr3:uid="{6B17E6B7-D859-4695-910F-007F27294D6E}" name="Production system"/>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7D731EF-FCA6-4925-9DFD-60D92D10FC25}" name="Table_SourceData_OrganicFertiliserTypes" displayName="Table_SourceData_OrganicFertiliserTypes" ref="J41:J46" totalsRowShown="0">
  <autoFilter ref="J41:J46" xr:uid="{B44627B1-537E-4ABC-92C3-57282CEE5B40}">
    <filterColumn colId="0" hiddenButton="1"/>
  </autoFilter>
  <tableColumns count="1">
    <tableColumn id="1" xr3:uid="{50800BBB-0E5C-468B-8923-77175E50B61E}" name="Organic fertiliser type"/>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6EFA264-3EC5-42F9-814D-7252ECD33A6C}"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DBAFD54-F4E5-4B80-835C-5F1727C9A41F}" name="Element">
      <calculatedColumnFormula array="1">Common_InputFunctions.Utility_DisplayArrayInTable(Fertiliser_SourceData.Fertiliser_LimeDolomiteGypsumConstants_Data(), Table_SourceData_Fertiliser_LimeDolomiteConstants[[#Headers],[Element]], 0)</calculatedColumnFormula>
    </tableColumn>
    <tableColumn id="2" xr3:uid="{A9DEED6E-05A6-4888-BA0C-3A2F1083BAB9}" name="P" dataDxfId="38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8FAC88B7-0D8B-468A-BCFB-EEDBF44781FB}" name="EF" dataDxfId="38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D0318E2-E7EC-4214-A6ED-0B8C66DA00F5}" name="Table2" displayName="Table2" ref="K19:L28" totalsRowShown="0" dataDxfId="384" dataCellStyle="Content normal">
  <autoFilter ref="K19:L28" xr:uid="{27B93029-EB1F-4C4A-A946-CD673A8A6C46}">
    <filterColumn colId="0" hiddenButton="1"/>
    <filterColumn colId="1" hiddenButton="1"/>
  </autoFilter>
  <tableColumns count="2">
    <tableColumn id="1" xr3:uid="{79D0BC24-30C1-41D2-965E-781F3500E90B}" name="Fertiliser type f" dataDxfId="383" dataCellStyle="Content normal">
      <calculatedColumnFormula array="1">Common_InputFunctions.Utility_DisplayArrayInTable(Fertiliser_SourceData.Fertiliser_FractionNCommonFertilisers_Data(), Table2[[#Headers],[Fertiliser type f]], 0)</calculatedColumnFormula>
    </tableColumn>
    <tableColumn id="2" xr3:uid="{D9B5536F-2C9C-47C3-990F-E6445B5D91A4}" name="FNinorganic f" dataDxfId="382"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AFA01B0-3C4E-456A-8464-57E964A11E96}" name="Table28" displayName="Table28" ref="Q19:R28" totalsRowShown="0" dataDxfId="381" dataCellStyle="Content normal">
  <autoFilter ref="Q19:R28" xr:uid="{791CEA59-796C-47AB-86BC-41E8F699030C}">
    <filterColumn colId="0" hiddenButton="1"/>
    <filterColumn colId="1" hiddenButton="1"/>
  </autoFilter>
  <tableColumns count="2">
    <tableColumn id="1" xr3:uid="{321E9362-00E7-4616-8EE5-AE0DE9085297}" name="Fertiliser type f" dataDxfId="380" dataCellStyle="Content normal">
      <calculatedColumnFormula array="1">Common_InputFunctions.Utility_DisplayArrayInTable(Fertiliser_SourceData.Fertiliser_FractionUreaCommonFertilisers_Data(), Table28[[#Headers],[Fertiliser type f]], 0)</calculatedColumnFormula>
    </tableColumn>
    <tableColumn id="2" xr3:uid="{767CDACF-301F-4DD3-93DE-538D17761EC7}" name="FNinorganic f" dataDxfId="379"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463CBCDD-DDA0-4C2B-BFEE-26FF1F3E7A73}"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57FB8549-90E0-4918-B62C-9597BCD290CD}"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93E024A-0888-4F91-BC74-7BE897E34800}" name="Table_Fuel_EFs_StationaryLiquid" displayName="Table_Fuel_EFs_StationaryLiquid" ref="D53:K77" totalsRowShown="0" headerRowDxfId="378" dataDxfId="377">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F7D0919-6796-4CFB-8D05-553B165B9E0D}" name="Fuel combusted" dataDxfId="376">
      <calculatedColumnFormula array="1">Common_InputFunctions.Utility_DisplayArrayInTable(Fuel_SourceData.Fuel_Scope1Scope3EmissionFactorsStationaryLiquid_Data(), Table_Fuel_EFs_StationaryLiquid[[#Headers],[Fuel combusted]],0)</calculatedColumnFormula>
    </tableColumn>
    <tableColumn id="2" xr3:uid="{DA759F8E-101C-490E-B5F7-7227262D336B}" name="Energy Content Factor (GJ per unit of fuel)" dataDxfId="375">
      <calculatedColumnFormula array="1">Common_InputFunctions.Utility_DisplayArrayInTable(Fuel_SourceData.Fuel_Scope1Scope3EmissionFactorsStationaryLiquid_Data(), Table_Fuel_EFs_StationaryLiquid[[#Headers],[Fuel combusted]],0)</calculatedColumnFormula>
    </tableColumn>
    <tableColumn id="3" xr3:uid="{522D6745-BC18-407C-B7D7-D6E8FB371DED}" name="Fuel unit" dataDxfId="374">
      <calculatedColumnFormula array="1">Common_InputFunctions.Utility_DisplayArrayInTable(Fuel_SourceData.Fuel_Scope1Scope3EmissionFactorsStationaryLiquid_Data(), Table_Fuel_EFs_StationaryLiquid[[#Headers],[Fuel combusted]],0)</calculatedColumnFormula>
    </tableColumn>
    <tableColumn id="4" xr3:uid="{70850E00-AC14-48E2-8C8D-9E04BC365ABA}" name="Scope 1 Emission Factor (kg CO2 - e / GJ) CO2" dataDxfId="373">
      <calculatedColumnFormula array="1">Common_InputFunctions.Utility_DisplayArrayInTable(Fuel_SourceData.Fuel_Scope1Scope3EmissionFactorsStationaryLiquid_Data(), Table_Fuel_EFs_StationaryLiquid[[#Headers],[Fuel combusted]],0)</calculatedColumnFormula>
    </tableColumn>
    <tableColumn id="5" xr3:uid="{9942C625-B606-419B-A86D-A09640485A22}" name="Scope 1 Emission Factor (kg CO2 - e / GJ) CH4" dataDxfId="372">
      <calculatedColumnFormula array="1">Common_InputFunctions.Utility_DisplayArrayInTable(Fuel_SourceData.Fuel_Scope1Scope3EmissionFactorsStationaryLiquid_Data(), Table_Fuel_EFs_StationaryLiquid[[#Headers],[Fuel combusted]],0)</calculatedColumnFormula>
    </tableColumn>
    <tableColumn id="6" xr3:uid="{0B474ED4-5772-4F1A-B1E0-204B9E518586}" name="Scope 1 Emission Factor (kg CO2 - e / GJ) N2O" dataDxfId="371">
      <calculatedColumnFormula array="1">Common_InputFunctions.Utility_DisplayArrayInTable(Fuel_SourceData.Fuel_Scope1Scope3EmissionFactorsStationaryLiquid_Data(), Table_Fuel_EFs_StationaryLiquid[[#Headers],[Fuel combusted]],0)</calculatedColumnFormula>
    </tableColumn>
    <tableColumn id="7" xr3:uid="{FD3BB1E6-555F-4CF4-82D3-E858683CE8F1}" name="Scope 1 Emission Factor (kg CO2 - e / GJ) Combined gases" dataDxfId="370">
      <calculatedColumnFormula array="1">Common_InputFunctions.Utility_DisplayArrayInTable(Fuel_SourceData.Fuel_Scope1Scope3EmissionFactorsStationaryLiquid_Data(), Table_Fuel_EFs_StationaryLiquid[[#Headers],[Fuel combusted]],0)</calculatedColumnFormula>
    </tableColumn>
    <tableColumn id="8" xr3:uid="{75A017CD-70E3-49E2-9678-F76D82007C16}" name="Scope 3 Emission Factor (kg CO2 - e / GJ)" dataDxfId="369">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C4CEB334-10EB-41B1-A059-8CBE286CF709}" name="Table_Fuel_EFs_Transport" displayName="Table_Fuel_EFs_Transport" ref="D9:L34" totalsRowShown="0" headerRowDxfId="368" dataDxfId="367">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37D0B5C-9656-4E44-96CE-E7569C84D4D9}" name="Transport type" dataDxfId="366">
      <calculatedColumnFormula array="1">Common_InputFunctions.Utility_DisplayArrayInTable(Fuel_SourceData.Fuel_Scope1Scope3EmissionFactorsTransport_Data(), Table_Fuel_EFs_Transport[[#Headers],[Transport type]], 0)</calculatedColumnFormula>
    </tableColumn>
    <tableColumn id="2" xr3:uid="{3571E57F-6C77-4086-A771-6B558FFEDA9D}" name="Fuel combusted" dataDxfId="365">
      <calculatedColumnFormula array="1">Common_InputFunctions.Utility_DisplayArrayInTable(Fuel_SourceData.Fuel_Scope1Scope3EmissionFactorsTransport_Data(), Table_Fuel_EFs_Transport[[#Headers],[Transport type]], 0)</calculatedColumnFormula>
    </tableColumn>
    <tableColumn id="3" xr3:uid="{BB0C9D29-6150-4845-A7C9-0672956E5C6A}" name="Energy Content Factor (GJ per unit of fuel)" dataDxfId="364">
      <calculatedColumnFormula array="1">Common_InputFunctions.Utility_DisplayArrayInTable(Fuel_SourceData.Fuel_Scope1Scope3EmissionFactorsTransport_Data(), Table_Fuel_EFs_Transport[[#Headers],[Transport type]], 0)</calculatedColumnFormula>
    </tableColumn>
    <tableColumn id="4" xr3:uid="{0C04CDA6-BACC-4B96-8471-A9E63331DAFE}" name="Fuel unit" dataDxfId="363">
      <calculatedColumnFormula array="1">Common_InputFunctions.Utility_DisplayArrayInTable(Fuel_SourceData.Fuel_Scope1Scope3EmissionFactorsTransport_Data(), Table_Fuel_EFs_Transport[[#Headers],[Transport type]], 0)</calculatedColumnFormula>
    </tableColumn>
    <tableColumn id="8" xr3:uid="{BCE1ADA6-E36D-4B31-A365-7FA33A7E1C57}" name="Scope 1 Emission Factor (kg CO2 - e / GJ) CO2" dataDxfId="362">
      <calculatedColumnFormula array="1">Common_InputFunctions.Utility_DisplayArrayInTable(Fuel_SourceData.Fuel_Scope1Scope3EmissionFactorsTransport_Data(), Table_Fuel_EFs_Transport[[#Headers],[Transport type]], 0)</calculatedColumnFormula>
    </tableColumn>
    <tableColumn id="9" xr3:uid="{4B1A6BA1-F75D-48AC-AC01-2F2ABEFE2ABC}" name="Scope 1 Emission Factor (kg CO2 - e / GJ) CH4" dataDxfId="361">
      <calculatedColumnFormula array="1">Common_InputFunctions.Utility_DisplayArrayInTable(Fuel_SourceData.Fuel_Scope1Scope3EmissionFactorsTransport_Data(), Table_Fuel_EFs_Transport[[#Headers],[Transport type]], 0)</calculatedColumnFormula>
    </tableColumn>
    <tableColumn id="10" xr3:uid="{0BFB3AE6-00E0-4BCF-A0A0-14AA224FBB8E}" name="Scope 1 Emission Factor (kg CO2 - e / GJ) N2O" dataDxfId="360">
      <calculatedColumnFormula array="1">Common_InputFunctions.Utility_DisplayArrayInTable(Fuel_SourceData.Fuel_Scope1Scope3EmissionFactorsTransport_Data(), Table_Fuel_EFs_Transport[[#Headers],[Transport type]], 0)</calculatedColumnFormula>
    </tableColumn>
    <tableColumn id="11" xr3:uid="{6C2F39A2-A565-4F39-8502-AAE67B4DBD75}" name="Scope 1 Emission Factor (kg CO2 - e / GJ) Combined gases" dataDxfId="359">
      <calculatedColumnFormula array="1">Common_InputFunctions.Utility_DisplayArrayInTable(Fuel_SourceData.Fuel_Scope1Scope3EmissionFactorsTransport_Data(), Table_Fuel_EFs_Transport[[#Headers],[Transport type]], 0)</calculatedColumnFormula>
    </tableColumn>
    <tableColumn id="12" xr3:uid="{65FFDF0B-DDAB-45A8-AF38-864649F495E2}" name="Scope 3 Emission Factor (kg CO2 - e / GJ)" dataDxfId="358">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184645E-C415-4B33-B496-EAEB4A457D36}" name="Table_FuelTypesPerUse" displayName="Table_FuelTypesPerUse" ref="D130:I139" totalsRowShown="0" headerRowDxfId="357" dataDxfId="356">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C9E2746-4724-4C3D-A204-E4E7192EB2CD}" name="Generators" dataDxfId="355"/>
    <tableColumn id="2" xr3:uid="{40D43C4C-E5CA-4FB4-9787-42F91B34B17D}" name="Power standalone machinery or heating" dataDxfId="354"/>
    <tableColumn id="3" xr3:uid="{102B749A-BB0F-40D1-A15C-B31988A41371}" name="Aviation" dataDxfId="353"/>
    <tableColumn id="5" xr3:uid="{713CA527-69C1-4118-8A6F-58F66F2BDDED}" name="Cars and light commercial vehicles" dataDxfId="352"/>
    <tableColumn id="7" xr3:uid="{6F77F238-2B3E-40BF-8F76-2310D53E2D41}" name="Off-road Agriculture and forestry equipment" dataDxfId="351" dataCellStyle="Content bold"/>
    <tableColumn id="8" xr3:uid="{7C8E515A-AC9E-4D94-BDFC-75AA746799EC}" name="Vessels" dataDxfId="350" dataCellStyle="Content bold"/>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C7129E2-75E2-442F-B658-FEA51D31A7C7}" name="Table_Fuel_EFs_StationaryGaseous" displayName="Table_Fuel_EFs_StationaryGaseous" ref="D86:J104" totalsRowShown="0" headerRowDxfId="349" dataDxfId="348">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1D68152-01C0-4E5C-A8B1-075DF39AE96D}" name="Fuel combusted" dataDxfId="347">
      <calculatedColumnFormula array="1">Common_InputFunctions.Utility_DisplayArrayInTable(Fuel_SourceData.Fuel_Scope1EmissionFactorsStationaryGaseous_Data(), Table_Fuel_EFs_StationaryGaseous[[#Headers],[Fuel combusted]],0)</calculatedColumnFormula>
    </tableColumn>
    <tableColumn id="2" xr3:uid="{AE21BFB3-6517-4971-B4CA-A8360D0E64D9}" name="Energy Content Factor (GJ per unit of fuel)" dataDxfId="346">
      <calculatedColumnFormula array="1">Common_InputFunctions.Utility_DisplayArrayInTable(Fuel_SourceData.Fuel_Scope1EmissionFactorsStationaryGaseous_Data(), Table_Fuel_EFs_StationaryGaseous[[#Headers],[Fuel combusted]],0)</calculatedColumnFormula>
    </tableColumn>
    <tableColumn id="3" xr3:uid="{C4E2EF87-4CC1-4244-87FA-11D8113C46E3}" name="Fuel unit" dataDxfId="345">
      <calculatedColumnFormula array="1">Common_InputFunctions.Utility_DisplayArrayInTable(Fuel_SourceData.Fuel_Scope1EmissionFactorsStationaryGaseous_Data(), Table_Fuel_EFs_StationaryGaseous[[#Headers],[Fuel combusted]],0)</calculatedColumnFormula>
    </tableColumn>
    <tableColumn id="4" xr3:uid="{C5942F02-9A90-4196-90CC-308D78B8B47B}" name="Scope 1 Emission Factor (kg CO2 - e / GJ) CO2" dataDxfId="344">
      <calculatedColumnFormula array="1">Common_InputFunctions.Utility_DisplayArrayInTable(Fuel_SourceData.Fuel_Scope1EmissionFactorsStationaryGaseous_Data(), Table_Fuel_EFs_StationaryGaseous[[#Headers],[Fuel combusted]],0)</calculatedColumnFormula>
    </tableColumn>
    <tableColumn id="5" xr3:uid="{F76261D8-36D1-4C37-B6AA-E103F7DA8168}" name="Scope 1 Emission Factor (kg CO2 - e / GJ) CH4" dataDxfId="343">
      <calculatedColumnFormula array="1">Common_InputFunctions.Utility_DisplayArrayInTable(Fuel_SourceData.Fuel_Scope1EmissionFactorsStationaryGaseous_Data(), Table_Fuel_EFs_StationaryGaseous[[#Headers],[Fuel combusted]],0)</calculatedColumnFormula>
    </tableColumn>
    <tableColumn id="6" xr3:uid="{0719BDA3-917E-403A-8E80-CE7D92C63FB0}" name="Scope 1 Emission Factor (kg CO2 - e / GJ) N2O" dataDxfId="342">
      <calculatedColumnFormula array="1">Common_InputFunctions.Utility_DisplayArrayInTable(Fuel_SourceData.Fuel_Scope1EmissionFactorsStationaryGaseous_Data(), Table_Fuel_EFs_StationaryGaseous[[#Headers],[Fuel combusted]],0)</calculatedColumnFormula>
    </tableColumn>
    <tableColumn id="7" xr3:uid="{5D923215-EABF-421E-A9DC-49B4618D083B}" name="Scope 1 Emission Factor (kg CO2 - e / GJ) Combined gases" dataDxfId="341">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189E42A-B6FA-4437-A4C9-6A773E3E6EF2}" name="Table_Fuel_EFs_StationaryGaseous34" displayName="Table_Fuel_EFs_StationaryGaseous34" ref="D112:F120" headerRowDxfId="340" totalsRowDxfId="339">
  <autoFilter ref="D112:F120" xr:uid="{7D6CE29D-2354-4FAC-9965-9A66FFA42416}">
    <filterColumn colId="0" hiddenButton="1"/>
    <filterColumn colId="1" hiddenButton="1"/>
    <filterColumn colId="2" hiddenButton="1"/>
  </autoFilter>
  <tableColumns count="3">
    <tableColumn id="1" xr3:uid="{E539AF7B-0A44-491E-8848-65C99A31C9A4}" name="State or territory" totalsRowDxfId="338">
      <calculatedColumnFormula array="1">Common_InputFunctions.Utility_DisplayArrayInTable(Fuel_SourceData.Fuel_Scope3EmissionFactorsStationaryGaseous_Data(), Table_Fuel_EFs_StationaryGaseous34[[#Headers],[State or territory]],0)</calculatedColumnFormula>
    </tableColumn>
    <tableColumn id="2" xr3:uid="{1B7C6C3D-F652-4529-A0D7-BAB9764E5EF1}" name="Metro" totalsRowDxfId="337">
      <calculatedColumnFormula array="1">Common_InputFunctions.Utility_DisplayArrayInTable(Fuel_SourceData.Fuel_Scope3EmissionFactorsStationaryGaseous_Data(), Table_Fuel_EFs_StationaryGaseous34[[#Headers],[State or territory]],0)</calculatedColumnFormula>
    </tableColumn>
    <tableColumn id="3" xr3:uid="{2F8C8E4A-150C-4E8E-B51A-AC0E185C302C}" name="Non-metro" totalsRowDxfId="336">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D7AD8AA-7391-4EC6-864A-77069506DAFE}"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FDBCE286-8B28-4D63-A442-5199F39ADA3E}" name="Fuel type"/>
    <tableColumn id="2" xr3:uid="{E0D26FC8-84C1-4661-BD06-C133ADAC7F0F}" name="Unit"/>
    <tableColumn id="3" xr3:uid="{FB508F07-1C1D-48EC-B444-145E8598C8F5}" name="Input Unit" dataDxfId="335"/>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B1E10139-5449-4677-9867-33D6D01A8B48}"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6568B0C-7C09-4F12-AFD2-E49A337F403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912E247-B81D-4C0D-9D05-8A0EEE7E1983}" name="Fuel type q" dataDxfId="33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F48D1F2C-3150-4FCA-B534-DB411E1931A1}" name="ECTrans,q (GJ/kL)" dataDxfId="33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F96B262D-044F-4A8C-B512-6486445E5A5A}" name="Scope 1 CO2 EFTran,1,tqg (kg CO2-e/GJ)" dataDxfId="3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329CC6F0-B99A-45F7-8D9F-4327EFAB6D6E}" name="Scope 1 CH4 EFTran,1,tgg (kg CO2-e/GJ)" dataDxfId="3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CC78FF88-D09F-4DC8-9283-0AC6F1D61029}" name="Scope 1 N2O EFTran,1,tgg (kg CO2-e/GJ)" dataDxfId="3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B2BE0189-745A-4B46-8699-541F09DE578D}" name="Scope 3 EFTrans,3,q (kg CO2-e/GJ)" dataDxfId="3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723928E8-747F-4C96-BD95-91BA7ABB6AE0}"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ACA7DAE-4C52-419C-B2DC-A755EA89E8D6}" name="Category" dataDxfId="328" dataCellStyle="Content normal">
      <calculatedColumnFormula array="1">Common_InputFunctions.Utility_DisplayArrayInTable(Scope3_SourceData.Scope3_Livestock_Data(), Table_SourceData_Scope3_Animals[[#Headers],[Category]], 0, 2)</calculatedColumnFormula>
    </tableColumn>
    <tableColumn id="2" xr3:uid="{9DB1DFDC-7CA3-4C24-B8F2-24A229C206C4}" name="Product" dataDxfId="327" dataCellStyle="Content normal">
      <calculatedColumnFormula array="1">Common_InputFunctions.Utility_DisplayArrayInTable(Scope3_SourceData.Scope3_Livestock_Data(), Table_SourceData_Scope3_Animals[[#Headers],[Category]], 0, 2)</calculatedColumnFormula>
    </tableColumn>
    <tableColumn id="3" xr3:uid="{30DD3A24-264A-48B2-A8D6-B53D5DDC259A}" name="Region of origin" dataDxfId="326" dataCellStyle="Content normal">
      <calculatedColumnFormula array="1">Common_InputFunctions.Utility_DisplayArrayInTable(Scope3_SourceData.Scope3_Livestock_Data(), Table_SourceData_Scope3_Animals[[#Headers],[Category]], 0, 2)</calculatedColumnFormula>
    </tableColumn>
    <tableColumn id="8" xr3:uid="{48EBDD85-90C2-4935-84B1-03DE257A32A6}" name="Quantity Unit" dataDxfId="325" dataCellStyle="Content normal">
      <calculatedColumnFormula array="1">Common_InputFunctions.Utility_DisplayArrayInTable(Scope3_SourceData.Scope3_Livestock_Data(), Table_SourceData_Scope3_Animals[[#Headers],[Category]], 0, 2)</calculatedColumnFormula>
    </tableColumn>
    <tableColumn id="9" xr3:uid="{F36290B1-EF52-4C2C-B9DB-70A1817C8C54}" name="Emissions intensity" dataDxfId="324" dataCellStyle="Content normal">
      <calculatedColumnFormula array="1">Common_InputFunctions.Utility_DisplayArrayInTable(Scope3_SourceData.Scope3_Livestock_Data(), Table_SourceData_Scope3_Animals[[#Headers],[Category]], 0, 2)</calculatedColumnFormula>
    </tableColumn>
    <tableColumn id="10" xr3:uid="{395DA8EC-E86E-4AC5-A26F-70860C9E95CB}" name="System boundary" dataDxfId="323" dataCellStyle="Content normal">
      <calculatedColumnFormula array="1">Common_InputFunctions.Utility_DisplayArrayInTable(Scope3_SourceData.Scope3_Livestock_Data(), Table_SourceData_Scope3_Animals[[#Headers],[Category]], 0, 2)</calculatedColumnFormula>
    </tableColumn>
    <tableColumn id="4" xr3:uid="{0703904B-4755-4755-ADF1-5DE71AF4AD13}" name="Source" dataDxfId="322"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D4789E7A-6F2A-4AA1-B33D-ABEF15F07962}"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EB42ADB-3C56-4977-AF69-F7ECFE11D218}" name="Category" dataDxfId="321" dataCellStyle="Content normal">
      <calculatedColumnFormula array="1">Common_InputFunctions.Utility_DisplayArrayInTable(Scope3_SourceData.Scope3_Chemicals_Data(), Table_SourceData_Scope3_ChemicalsCleaning[[#Headers],[Category]], 0, 2)</calculatedColumnFormula>
    </tableColumn>
    <tableColumn id="2" xr3:uid="{FB1E80FF-274F-4034-B656-BCEE52B781A0}" name="Product" dataDxfId="320" dataCellStyle="Content normal">
      <calculatedColumnFormula array="1">Common_InputFunctions.Utility_DisplayArrayInTable(Scope3_SourceData.Scope3_Chemicals_Data(), Table_SourceData_Scope3_ChemicalsCleaning[[#Headers],[Category]], 0, 2)</calculatedColumnFormula>
    </tableColumn>
    <tableColumn id="3" xr3:uid="{CAB8F171-749B-484D-9ECC-2D4941FD10A8}" name="Region of origin" dataDxfId="319" dataCellStyle="Content normal">
      <calculatedColumnFormula array="1">Common_InputFunctions.Utility_DisplayArrayInTable(Scope3_SourceData.Scope3_Chemicals_Data(), Table_SourceData_Scope3_ChemicalsCleaning[[#Headers],[Category]], 0, 2)</calculatedColumnFormula>
    </tableColumn>
    <tableColumn id="8" xr3:uid="{BB3BD2BC-B32C-40A5-86B6-6C93F07A983C}" name="Quantity Unit" dataDxfId="318" dataCellStyle="Content normal">
      <calculatedColumnFormula array="1">Common_InputFunctions.Utility_DisplayArrayInTable(Scope3_SourceData.Scope3_Chemicals_Data(), Table_SourceData_Scope3_ChemicalsCleaning[[#Headers],[Category]], 0, 2)</calculatedColumnFormula>
    </tableColumn>
    <tableColumn id="9" xr3:uid="{C16B8648-D73D-4DE7-A17F-B402D6524D48}" name="Emissions intensity" dataDxfId="317" dataCellStyle="Content normal">
      <calculatedColumnFormula array="1">Common_InputFunctions.Utility_DisplayArrayInTable(Scope3_SourceData.Scope3_Chemicals_Data(), Table_SourceData_Scope3_ChemicalsCleaning[[#Headers],[Category]], 0, 2)</calculatedColumnFormula>
    </tableColumn>
    <tableColumn id="10" xr3:uid="{62F6036F-53FE-45CA-8E22-8240321C6FE1}" name="System boundary" dataDxfId="316" dataCellStyle="Content normal">
      <calculatedColumnFormula array="1">Common_InputFunctions.Utility_DisplayArrayInTable(Scope3_SourceData.Scope3_Chemicals_Data(), Table_SourceData_Scope3_ChemicalsCleaning[[#Headers],[Category]], 0, 2)</calculatedColumnFormula>
    </tableColumn>
    <tableColumn id="4" xr3:uid="{659134B4-DE4B-4116-B5C7-9ED667208A8B}" name="Source" dataDxfId="315" dataCellStyle="Content normal"/>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B3482810-6F7D-4563-9905-2BDB8D27CE04}" name="Table_SourceData_Scope3_Feed" displayName="Table_SourceData_Scope3_Feed" ref="D89:J158" dataDxfId="314"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EC42B4-9C39-418E-94DB-0F65EF5B654F}" name="Category" totalsRowFunction="custom" dataDxfId="313" totalsRowDxfId="31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714178CD-C2C1-4AEA-B07D-DA5BECD645EE}" name="Product" totalsRowFunction="custom" dataDxfId="311" totalsRowDxfId="31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70A15210-E0A8-4DA0-9B04-407D574E4D1D}" name="Region of origin" totalsRowFunction="custom" dataDxfId="309" totalsRowDxfId="30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22772FD1-FF79-4DED-8DF1-15DF0B101BA4}" name="Quantity Unit" totalsRowFunction="custom" dataDxfId="307" totalsRowDxfId="30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5D25DF01-0C84-43FC-83A3-C2A76FE180C9}" name="Emissions intensity" totalsRowFunction="custom" dataDxfId="305" totalsRowDxfId="30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E2746E1F-4E09-40C0-AFF4-7FBE17164046}" name="System boundary" totalsRowFunction="custom" dataDxfId="303" totalsRowDxfId="30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1973F2CA-884C-4620-B450-E9671CBD810E}" name="Source" totalsRowLabel="GHGEI-MIAFF" dataDxfId="301" totalsRowDxfId="300" dataCellStyle="Content normal"/>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3BDC8837-DF35-4D58-8BEA-184113F8CD80}"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4C4FC87-E9B7-431E-9B43-703D50B79CD5}" name="Category">
      <calculatedColumnFormula array="1">Common_InputFunctions.Utility_DisplayArrayInTable(Scope3_SourceData.Scope3_InorganicFertilisers_Data(), Table_SourceData_Scope3_InorganicFertiliser[[#Headers],[Category]], 0, 2)</calculatedColumnFormula>
    </tableColumn>
    <tableColumn id="2" xr3:uid="{62E021A4-BB17-424B-91E3-FB306F6C5232}" name="Product">
      <calculatedColumnFormula array="1">Common_InputFunctions.Utility_DisplayArrayInTable(Scope3_SourceData.Scope3_InorganicFertilisers_Data(), Table_SourceData_Scope3_InorganicFertiliser[[#Headers],[Category]], 0, 2)</calculatedColumnFormula>
    </tableColumn>
    <tableColumn id="3" xr3:uid="{C1BBB8CF-780F-436A-A12F-7CB79D0A65F6}" name="Region of origin">
      <calculatedColumnFormula array="1">Common_InputFunctions.Utility_DisplayArrayInTable(Scope3_SourceData.Scope3_InorganicFertilisers_Data(), Table_SourceData_Scope3_InorganicFertiliser[[#Headers],[Category]], 0, 2)</calculatedColumnFormula>
    </tableColumn>
    <tableColumn id="4" xr3:uid="{A43C1F6C-7FA4-474C-8070-4F5D67ED0B93}" name="Chemical compound"/>
    <tableColumn id="5" xr3:uid="{E819E0BE-9D43-48A4-A08F-30B7FB30165C}" name="Urea source"/>
    <tableColumn id="6" xr3:uid="{59115327-25A2-437E-B467-42D196C677F4}" name="Ammonia source"/>
    <tableColumn id="7" xr3:uid="{A9EDED45-E397-4D07-B131-6DC75ED2F453}" name="Quantity"/>
    <tableColumn id="8" xr3:uid="{E75377F2-2777-4935-A456-F3A53BFB41EF}" name="Quantity Unit">
      <calculatedColumnFormula array="1">Common_InputFunctions.Utility_DisplayArrayInTable(Scope3_SourceData.Scope3_InorganicFertilisers_Data(), Table_SourceData_Scope3_InorganicFertiliser[[#Headers],[Category]], 0, -2)</calculatedColumnFormula>
    </tableColumn>
    <tableColumn id="9" xr3:uid="{69538844-9968-4677-AA38-1F86571790CC}" name="Emissions intensity">
      <calculatedColumnFormula array="1">Common_InputFunctions.Utility_DisplayArrayInTable(Scope3_SourceData.Scope3_InorganicFertilisers_Data(), Table_SourceData_Scope3_InorganicFertiliser[[#Headers],[Category]], 0, -2)</calculatedColumnFormula>
    </tableColumn>
    <tableColumn id="10" xr3:uid="{15FFD73B-D208-4FEF-ABAF-68B094DE9A51}" name="System boundary" dataDxfId="299" dataCellStyle="Content normal">
      <calculatedColumnFormula array="1">Common_InputFunctions.Utility_DisplayArrayInTable(Scope3_SourceData.Scope3_InorganicFertilisers_Data(), Table_SourceData_Scope3_InorganicFertiliser[[#Headers],[Category]], 0, -2)</calculatedColumnFormula>
    </tableColumn>
    <tableColumn id="11" xr3:uid="{A3D56EFC-03DF-494F-9638-253D9D554EEF}" name="Source" dataDxfId="298" dataCellStyle="Content normal"/>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EA341CC2-F559-4AA2-844D-159D4BB4FC77}" name="Table_SourceData_Scope3_Other" displayName="Table_SourceData_Scope3_Other" ref="D201:J209" totalsRowShown="0" dataDxfId="297"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5930036-3322-4F87-A1F4-C2A6C5D14D84}" name="Category" dataDxfId="296" dataCellStyle="Content normal">
      <calculatedColumnFormula array="1">Common_InputFunctions.Utility_DisplayArrayInTable(Scope3_SourceData.Scope3_Other_Data(), Table_SourceData_Scope3_Other[[#Headers],[Category]], 0, 2)</calculatedColumnFormula>
    </tableColumn>
    <tableColumn id="2" xr3:uid="{4AFFBC60-7884-48B6-8DB5-A835C05E3318}" name="Product" dataDxfId="295" dataCellStyle="Content normal">
      <calculatedColumnFormula array="1">Common_InputFunctions.Utility_DisplayArrayInTable(Scope3_SourceData.Scope3_Other_Data(), Table_SourceData_Scope3_Other[[#Headers],[Category]], 0, 2)</calculatedColumnFormula>
    </tableColumn>
    <tableColumn id="3" xr3:uid="{ECD98A98-2B1D-4361-AE4C-B97D20766FB7}" name="Region of origin" dataDxfId="294" dataCellStyle="Content normal">
      <calculatedColumnFormula array="1">Common_InputFunctions.Utility_DisplayArrayInTable(Scope3_SourceData.Scope3_Other_Data(), Table_SourceData_Scope3_Other[[#Headers],[Category]], 0, 2)</calculatedColumnFormula>
    </tableColumn>
    <tableColumn id="8" xr3:uid="{C838C830-705C-4EEF-8A7F-B7B838AF4E46}" name="Quantity Unit" dataDxfId="293" dataCellStyle="Content normal">
      <calculatedColumnFormula array="1">Common_InputFunctions.Utility_DisplayArrayInTable(Scope3_SourceData.Scope3_Other_Data(), Table_SourceData_Scope3_Other[[#Headers],[Category]], 0, 2)</calculatedColumnFormula>
    </tableColumn>
    <tableColumn id="9" xr3:uid="{A753DEC6-137C-4D7E-B8E3-40B1A8200E9F}" name="Emissions intensity" dataDxfId="292" dataCellStyle="Content normal">
      <calculatedColumnFormula array="1">Common_InputFunctions.Utility_DisplayArrayInTable(Scope3_SourceData.Scope3_Other_Data(), Table_SourceData_Scope3_Other[[#Headers],[Category]], 0, 2)</calculatedColumnFormula>
    </tableColumn>
    <tableColumn id="10" xr3:uid="{D0ADE5AE-A0FF-4C0D-AB1B-1DED9A494AC7}" name="System boundary" dataDxfId="291" dataCellStyle="Content normal">
      <calculatedColumnFormula array="1">Common_InputFunctions.Utility_DisplayArrayInTable(Scope3_SourceData.Scope3_Other_Data(), Table_SourceData_Scope3_Other[[#Headers],[Category]], 0, 2)</calculatedColumnFormula>
    </tableColumn>
    <tableColumn id="4" xr3:uid="{90B91D1D-ACBE-4DBF-A4CA-66946235B7B1}" name="Source" dataDxfId="290" dataCellStyle="Content normal"/>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BF5B8DA-23E8-4A42-BD47-49EC4292B1DE}" name="Table_SourceData_Scope3_Packaging" displayName="Table_SourceData_Scope3_Packaging" ref="D212:J216" totalsRowShown="0" dataDxfId="289"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D2138B7-F380-4973-A80D-05568471D576}" name="Category" dataDxfId="288" dataCellStyle="Content normal">
      <calculatedColumnFormula array="1">Common_InputFunctions.Utility_DisplayArrayInTable(Scope3_SourceData.Scope3_Packaging_Data(), Table_SourceData_Scope3_Packaging[[#Headers],[Category]], 0, 2)</calculatedColumnFormula>
    </tableColumn>
    <tableColumn id="2" xr3:uid="{A7F13CD2-7460-4A64-935B-F83B9BC6EDEA}" name="Product" dataDxfId="287" dataCellStyle="Content normal">
      <calculatedColumnFormula array="1">Common_InputFunctions.Utility_DisplayArrayInTable(Scope3_SourceData.Scope3_Packaging_Data(), Table_SourceData_Scope3_Packaging[[#Headers],[Category]], 0, 2)</calculatedColumnFormula>
    </tableColumn>
    <tableColumn id="3" xr3:uid="{48815161-95B5-434D-9095-5B8DB7B9F30D}" name="Region of origin" dataDxfId="286" dataCellStyle="Content normal">
      <calculatedColumnFormula array="1">Common_InputFunctions.Utility_DisplayArrayInTable(Scope3_SourceData.Scope3_Packaging_Data(), Table_SourceData_Scope3_Packaging[[#Headers],[Category]], 0, 2)</calculatedColumnFormula>
    </tableColumn>
    <tableColumn id="8" xr3:uid="{2FABD56C-CEA8-46B5-95A4-D5C20CF82CEA}" name="Quantity Unit" dataDxfId="285" dataCellStyle="Content normal">
      <calculatedColumnFormula array="1">Common_InputFunctions.Utility_DisplayArrayInTable(Scope3_SourceData.Scope3_Packaging_Data(), Table_SourceData_Scope3_Packaging[[#Headers],[Category]], 0, 2)</calculatedColumnFormula>
    </tableColumn>
    <tableColumn id="9" xr3:uid="{04B705F3-423A-47A6-BB2E-21906A945418}" name="Emissions intensity" dataDxfId="284" dataCellStyle="Content normal">
      <calculatedColumnFormula array="1">Common_InputFunctions.Utility_DisplayArrayInTable(Scope3_SourceData.Scope3_Packaging_Data(), Table_SourceData_Scope3_Packaging[[#Headers],[Category]], 0, 2)</calculatedColumnFormula>
    </tableColumn>
    <tableColumn id="10" xr3:uid="{994CED29-76D3-4FF6-88CF-DEAD249EEE3D}" name="System boundary" dataDxfId="283" dataCellStyle="Content normal">
      <calculatedColumnFormula array="1">Common_InputFunctions.Utility_DisplayArrayInTable(Scope3_SourceData.Scope3_Packaging_Data(), Table_SourceData_Scope3_Packaging[[#Headers],[Category]], 0, 2)</calculatedColumnFormula>
    </tableColumn>
    <tableColumn id="4" xr3:uid="{6D963B55-11BC-45D7-8F07-C353D52176F7}" name="Source" dataDxfId="282" dataCellStyle="Content normal"/>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28621C0A-64F2-4C0F-8C77-E6F7D21D3708}" name="Table_SourceData_Scope3_Pesticides" displayName="Table_SourceData_Scope3_Pesticides" ref="D219:J231" totalsRowShown="0" dataDxfId="281"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F7238A7-4288-45F2-9F91-260889E00F32}" name="Category" dataDxfId="280" dataCellStyle="Content normal">
      <calculatedColumnFormula array="1">Common_InputFunctions.Utility_DisplayArrayInTable(Scope3_SourceData.Scope3_Pesticides_Data(), Table_SourceData_Scope3_Pesticides[[#Headers],[Category]], 0, 2)</calculatedColumnFormula>
    </tableColumn>
    <tableColumn id="2" xr3:uid="{BC9D948C-F595-4A90-9B67-8214C5D3E81E}" name="Product" dataDxfId="279" dataCellStyle="Content normal">
      <calculatedColumnFormula array="1">Common_InputFunctions.Utility_DisplayArrayInTable(Scope3_SourceData.Scope3_Pesticides_Data(), Table_SourceData_Scope3_Pesticides[[#Headers],[Category]], 0, 2)</calculatedColumnFormula>
    </tableColumn>
    <tableColumn id="3" xr3:uid="{8883E267-DEDA-4521-AA42-76A0A5FB2C6E}" name="Region of origin" dataDxfId="278" dataCellStyle="Content normal">
      <calculatedColumnFormula array="1">Common_InputFunctions.Utility_DisplayArrayInTable(Scope3_SourceData.Scope3_Pesticides_Data(), Table_SourceData_Scope3_Pesticides[[#Headers],[Category]], 0, 2)</calculatedColumnFormula>
    </tableColumn>
    <tableColumn id="8" xr3:uid="{6EFD93B2-B588-4E9D-96A7-C5DACC9FFF40}" name="Quantity Unit" dataDxfId="277" dataCellStyle="Content normal">
      <calculatedColumnFormula array="1">Common_InputFunctions.Utility_DisplayArrayInTable(Scope3_SourceData.Scope3_Pesticides_Data(), Table_SourceData_Scope3_Pesticides[[#Headers],[Category]], 0, 2)</calculatedColumnFormula>
    </tableColumn>
    <tableColumn id="9" xr3:uid="{25A77936-1AE4-4DA8-A154-719C2F2CA7CD}" name="Emissions intensity" dataDxfId="276" dataCellStyle="Content normal">
      <calculatedColumnFormula array="1">Common_InputFunctions.Utility_DisplayArrayInTable(Scope3_SourceData.Scope3_Pesticides_Data(), Table_SourceData_Scope3_Pesticides[[#Headers],[Category]], 0, 2)</calculatedColumnFormula>
    </tableColumn>
    <tableColumn id="10" xr3:uid="{8C01F060-8BE6-47C5-A70B-D7E41708124B}" name="System boundary" dataDxfId="275" dataCellStyle="Content normal">
      <calculatedColumnFormula array="1">Common_InputFunctions.Utility_DisplayArrayInTable(Scope3_SourceData.Scope3_Pesticides_Data(), Table_SourceData_Scope3_Pesticides[[#Headers],[Category]], 0, 2)</calculatedColumnFormula>
    </tableColumn>
    <tableColumn id="4" xr3:uid="{AFB9C619-9249-4BED-9CA9-964BAFFC327A}" name="Source" dataDxfId="274" dataCellStyle="Content normal"/>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A1E3674-FD31-48D6-AFAF-7793A3EAA4D1}" name="Table_SourceData_Scope3_SoilAmeliorants" displayName="Table_SourceData_Scope3_SoilAmeliorants" ref="D234:J237" totalsRowShown="0" dataDxfId="273"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3CB0F99-27F9-4CCE-A5FE-EBF999C5B975}" name="Category" dataDxfId="272" dataCellStyle="Content normal">
      <calculatedColumnFormula array="1">Common_InputFunctions.Utility_DisplayArrayInTable(Scope3_SourceData.Scope3_SoilAmendments_Data(), Table_SourceData_Scope3_SoilAmeliorants[[#Headers],[Category]], 0, 2)</calculatedColumnFormula>
    </tableColumn>
    <tableColumn id="2" xr3:uid="{6D216321-CD80-40B5-B7EB-AAF686A315D4}" name="Product" dataDxfId="271" dataCellStyle="Content normal">
      <calculatedColumnFormula array="1">Common_InputFunctions.Utility_DisplayArrayInTable(Scope3_SourceData.Scope3_SoilAmendments_Data(), Table_SourceData_Scope3_SoilAmeliorants[[#Headers],[Category]], 0, 2)</calculatedColumnFormula>
    </tableColumn>
    <tableColumn id="3" xr3:uid="{A79878FA-91B6-44E1-AB10-E1C4A098FC35}" name="Region of origin" dataDxfId="270" dataCellStyle="Content normal">
      <calculatedColumnFormula array="1">Common_InputFunctions.Utility_DisplayArrayInTable(Scope3_SourceData.Scope3_SoilAmendments_Data(), Table_SourceData_Scope3_SoilAmeliorants[[#Headers],[Category]], 0, 2)</calculatedColumnFormula>
    </tableColumn>
    <tableColumn id="8" xr3:uid="{D7664DF8-64B9-4755-BE5F-99D7D91941C4}" name="Quantity Unit" dataDxfId="269" dataCellStyle="Content normal">
      <calculatedColumnFormula array="1">Common_InputFunctions.Utility_DisplayArrayInTable(Scope3_SourceData.Scope3_SoilAmendments_Data(), Table_SourceData_Scope3_SoilAmeliorants[[#Headers],[Category]], 0, 2)</calculatedColumnFormula>
    </tableColumn>
    <tableColumn id="9" xr3:uid="{B2B41E4F-A2A7-4DF5-B758-1C5ADE310F48}" name="Emissions intensity" dataDxfId="268" dataCellStyle="Content normal">
      <calculatedColumnFormula array="1">Common_InputFunctions.Utility_DisplayArrayInTable(Scope3_SourceData.Scope3_SoilAmendments_Data(), Table_SourceData_Scope3_SoilAmeliorants[[#Headers],[Category]], 0, 2)</calculatedColumnFormula>
    </tableColumn>
    <tableColumn id="10" xr3:uid="{DAE0CBB5-3110-4222-9D83-A5134715585C}" name="System boundary" dataDxfId="267" dataCellStyle="Content normal">
      <calculatedColumnFormula array="1">Common_InputFunctions.Utility_DisplayArrayInTable(Scope3_SourceData.Scope3_SoilAmendments_Data(), Table_SourceData_Scope3_SoilAmeliorants[[#Headers],[Category]], 0, 2)</calculatedColumnFormula>
    </tableColumn>
    <tableColumn id="4" xr3:uid="{7AADA65D-264A-4C4B-8D90-DC4D2FB73424}" name="Source" dataDxfId="266" dataCellStyle="Content normal"/>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58C34DEC-C0D3-416A-8464-D1EB5D0AB34E}" name="Table_SourceData_Scope3_ChemicalsPharmacy" displayName="Table_SourceData_Scope3_ChemicalsPharmacy" ref="D82:J86" totalsRowShown="0" dataDxfId="265"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E152666-4A0E-4FF8-A017-EBCFF35746E0}" name="Category" dataDxfId="264" dataCellStyle="Content normal">
      <calculatedColumnFormula array="1">Common_InputFunctions.Utility_DisplayArrayInTable(Scope3_SourceData.Scope3_Chemicals_Data(), Table_SourceData_Scope3_ChemicalsPharmacy[[#Headers],[Category]], -3, 2)</calculatedColumnFormula>
    </tableColumn>
    <tableColumn id="2" xr3:uid="{0457A250-A3F5-44C1-B8E8-5DF659C66441}" name="Product" dataDxfId="263" dataCellStyle="Content normal">
      <calculatedColumnFormula array="1">Common_InputFunctions.Utility_DisplayArrayInTable(Scope3_SourceData.Scope3_Chemicals_Data(), Table_SourceData_Scope3_ChemicalsPharmacy[[#Headers],[Category]], -3, 2)</calculatedColumnFormula>
    </tableColumn>
    <tableColumn id="3" xr3:uid="{DF220A16-6826-4D60-89B4-934CBF6F7A9B}" name="Region of origin" dataDxfId="262" dataCellStyle="Content normal">
      <calculatedColumnFormula array="1">Common_InputFunctions.Utility_DisplayArrayInTable(Scope3_SourceData.Scope3_Chemicals_Data(), Table_SourceData_Scope3_ChemicalsPharmacy[[#Headers],[Category]], -3, 2)</calculatedColumnFormula>
    </tableColumn>
    <tableColumn id="8" xr3:uid="{83A4EEBB-4437-456C-AD20-94A1D3D45060}" name="Quantity Unit" dataDxfId="261" dataCellStyle="Content normal">
      <calculatedColumnFormula array="1">Common_InputFunctions.Utility_DisplayArrayInTable(Scope3_SourceData.Scope3_Chemicals_Data(), Table_SourceData_Scope3_ChemicalsPharmacy[[#Headers],[Category]], -3, 2)</calculatedColumnFormula>
    </tableColumn>
    <tableColumn id="9" xr3:uid="{220A1C82-00C2-4262-A21F-95A5336C76A8}" name="Emissions intensity" dataDxfId="260" dataCellStyle="Content normal">
      <calculatedColumnFormula array="1">Common_InputFunctions.Utility_DisplayArrayInTable(Scope3_SourceData.Scope3_Chemicals_Data(), Table_SourceData_Scope3_ChemicalsPharmacy[[#Headers],[Category]], -3, 2)</calculatedColumnFormula>
    </tableColumn>
    <tableColumn id="10" xr3:uid="{44080A03-3F70-46DC-A252-D3549D5D2B55}" name="System boundary" dataDxfId="259" dataCellStyle="Content normal">
      <calculatedColumnFormula array="1">Common_InputFunctions.Utility_DisplayArrayInTable(Scope3_SourceData.Scope3_Chemicals_Data(), Table_SourceData_Scope3_ChemicalsPharmacy[[#Headers],[Category]], -3, 2)</calculatedColumnFormula>
    </tableColumn>
    <tableColumn id="4" xr3:uid="{B69FCE21-6A60-46D0-889E-BC88D22CA873}" name="Source" dataDxfId="258" dataCellStyle="Content normal"/>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4B8E8B8-985C-4A29-AD5E-03FB5016C2F7}" name="Table_SourceData_Scope3_LickBlocks" displayName="Table_SourceData_Scope3_LickBlocks" ref="D167:J170" totalsRowShown="0" headerRowDxfId="257"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16D4A9D-267F-47FE-AF15-64D78C4703D3}" name="Category" dataDxfId="256" dataCellStyle="Content normal">
      <calculatedColumnFormula array="1">Common_InputFunctions.Utility_DisplayArrayInTable(Scope3_SourceData.Scope3_Feed_Data(), Table_SourceData_Scope3_LickBlocks[[#Headers],[Category]], -73, 2)</calculatedColumnFormula>
    </tableColumn>
    <tableColumn id="2" xr3:uid="{29A86805-B58F-4AE3-B5FF-9CC5E9D7E629}" name="Product" dataDxfId="255" dataCellStyle="Content normal">
      <calculatedColumnFormula array="1">Common_InputFunctions.Utility_DisplayArrayInTable(Scope3_SourceData.Scope3_Feed_Data(), Table_SourceData_Scope3_LickBlocks[[#Headers],[Category]], -73, 2)</calculatedColumnFormula>
    </tableColumn>
    <tableColumn id="3" xr3:uid="{EF7780A5-8952-4A48-B532-000AA4E0E037}" name="Region of origin" dataDxfId="254" dataCellStyle="Content normal">
      <calculatedColumnFormula array="1">Common_InputFunctions.Utility_DisplayArrayInTable(Scope3_SourceData.Scope3_Feed_Data(), Table_SourceData_Scope3_LickBlocks[[#Headers],[Category]], -73, 2)</calculatedColumnFormula>
    </tableColumn>
    <tableColumn id="4" xr3:uid="{4978CDA8-3683-4572-8ABA-CD2090F00663}" name="Quantity Unit" dataDxfId="253" dataCellStyle="Content normal">
      <calculatedColumnFormula array="1">Common_InputFunctions.Utility_DisplayArrayInTable(Scope3_SourceData.Scope3_Feed_Data(), Table_SourceData_Scope3_LickBlocks[[#Headers],[Category]], -73, 2)</calculatedColumnFormula>
    </tableColumn>
    <tableColumn id="5" xr3:uid="{924FA76C-5B6C-44E4-B9CC-68ED6E7A37F8}" name="Emissions intensity" dataDxfId="252" dataCellStyle="Content normal">
      <calculatedColumnFormula array="1">Common_InputFunctions.Utility_DisplayArrayInTable(Scope3_SourceData.Scope3_Feed_Data(), Table_SourceData_Scope3_LickBlocks[[#Headers],[Category]], -73, 2)</calculatedColumnFormula>
    </tableColumn>
    <tableColumn id="6" xr3:uid="{8A53C1AD-3830-461D-8892-24CF2B00F05D}" name="System boundary" dataDxfId="251" dataCellStyle="Content normal">
      <calculatedColumnFormula array="1">Common_InputFunctions.Utility_DisplayArrayInTable(Scope3_SourceData.Scope3_Feed_Data(), Table_SourceData_Scope3_LickBlocks[[#Headers],[Category]], -73, 2)</calculatedColumnFormula>
    </tableColumn>
    <tableColumn id="7" xr3:uid="{6D268401-2B37-427C-BE75-55629BE99BF3}" name="Source" dataDxfId="250" dataCellStyle="Content normal"/>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50C0B90A-6784-4523-A48D-BC67B374E7C4}" name="Table_SourceData_Scope3_MixedRations" displayName="Table_SourceData_Scope3_MixedRations" ref="D161:J165" totalsRowShown="0" headerRowDxfId="249"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19B5E6-9063-44C4-8888-FD8AC2574D29}" name="Category" dataDxfId="248" dataCellStyle="Content normal">
      <calculatedColumnFormula array="1">Common_InputFunctions.Utility_DisplayArrayInTable(Scope3_SourceData.Scope3_Feed_Data(), Table_SourceData_Scope3_MixedRations[[#Headers],[Category]], -66, 2)</calculatedColumnFormula>
    </tableColumn>
    <tableColumn id="2" xr3:uid="{695546BC-B24E-40C1-99F6-D2507C7892CB}" name="Product" dataDxfId="247" dataCellStyle="Content normal">
      <calculatedColumnFormula array="1">Common_InputFunctions.Utility_DisplayArrayInTable(Scope3_SourceData.Scope3_Feed_Data(), Table_SourceData_Scope3_MixedRations[[#Headers],[Category]], -66, 2)</calculatedColumnFormula>
    </tableColumn>
    <tableColumn id="3" xr3:uid="{D6D895DB-767E-47C2-8472-1F2B1185D1B4}" name="Region of origin" dataDxfId="246" dataCellStyle="Content normal">
      <calculatedColumnFormula array="1">Common_InputFunctions.Utility_DisplayArrayInTable(Scope3_SourceData.Scope3_Feed_Data(), Table_SourceData_Scope3_MixedRations[[#Headers],[Category]], -66, 2)</calculatedColumnFormula>
    </tableColumn>
    <tableColumn id="4" xr3:uid="{2A1BB5A4-4C4B-463C-A9D3-5DD32496226E}" name="Quantity Unit" dataDxfId="245" dataCellStyle="Content normal">
      <calculatedColumnFormula array="1">Common_InputFunctions.Utility_DisplayArrayInTable(Scope3_SourceData.Scope3_Feed_Data(), Table_SourceData_Scope3_MixedRations[[#Headers],[Category]], -66, 2)</calculatedColumnFormula>
    </tableColumn>
    <tableColumn id="5" xr3:uid="{BCB0D0A7-0C25-41FD-80C6-D5F378187354}" name="Emissions intensity" dataDxfId="244" dataCellStyle="Content normal">
      <calculatedColumnFormula array="1">Common_InputFunctions.Utility_DisplayArrayInTable(Scope3_SourceData.Scope3_Feed_Data(), Table_SourceData_Scope3_MixedRations[[#Headers],[Category]], -66, 2)</calculatedColumnFormula>
    </tableColumn>
    <tableColumn id="6" xr3:uid="{27976A15-37F8-425E-8189-5F688FD26AF5}" name="System boundary" dataDxfId="243" dataCellStyle="Content normal">
      <calculatedColumnFormula array="1">Common_InputFunctions.Utility_DisplayArrayInTable(Scope3_SourceData.Scope3_Feed_Data(), Table_SourceData_Scope3_MixedRations[[#Headers],[Category]], -66, 2)</calculatedColumnFormula>
    </tableColumn>
    <tableColumn id="7" xr3:uid="{6D9A4907-2922-441B-9639-222F09B75606}" name="Source" dataDxfId="242" dataCellStyle="Content normal"/>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CA265A33-F688-4116-95A3-0556134E0057}"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C79743B6-713E-41FB-B42E-A0FA01CD3CFE}" name="Product">
      <calculatedColumnFormula>Table_SourceData_Scope3_FishFeedAndBait[[#This Row],[Product]]</calculatedColumnFormula>
    </tableColumn>
    <tableColumn id="2" xr3:uid="{79EC5C4F-1028-4F10-8703-2DC428E14082}"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9EB8B21-4885-491C-ABDB-DE2AF9759D83}"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3F31E576-47B8-4459-A8FE-02D72BA27175}" name="Product">
      <calculatedColumnFormula>Table_SourceData_Scope3_Feed[[#This Row],[Product]]</calculatedColumnFormula>
    </tableColumn>
    <tableColumn id="2" xr3:uid="{FF60F6AA-703E-460B-9D4F-B6F17F1C97A9}"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142C7E51-247D-4888-AC58-4DCE3028AF2F}" name="Table_ProductRegions_Maizegrain" displayName="Table_ProductRegions_Maizegrain" ref="L97:M104" totalsRowShown="0" headerRowDxfId="241" headerRowCellStyle="Content normal">
  <autoFilter ref="L97:M104" xr:uid="{70F320A7-5DBE-4A83-91E4-C9B3BDA564BD}">
    <filterColumn colId="0" hiddenButton="1"/>
    <filterColumn colId="1" hiddenButton="1"/>
  </autoFilter>
  <tableColumns count="2">
    <tableColumn id="1" xr3:uid="{6BF09557-9717-4FA8-977A-0E9A96B9DCDA}" name="Product">
      <calculatedColumnFormula>Table_SourceData_Scope3_Feed[[#This Row],[Product]]</calculatedColumnFormula>
    </tableColumn>
    <tableColumn id="2" xr3:uid="{706A97C6-6908-4C16-90BF-9613D23D7BE1}"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1BABDAF-6DE1-4E9C-85E7-4431DDAD1FA6}" name="Table_ProductRegions_Sorghumgrain" displayName="Table_ProductRegions_Sorghumgrain" ref="O104:P109" totalsRowShown="0" headerRowDxfId="240" headerRowCellStyle="Content normal">
  <autoFilter ref="O104:P109" xr:uid="{90205417-8A77-41A3-A4E2-624BD92B7269}">
    <filterColumn colId="0" hiddenButton="1"/>
    <filterColumn colId="1" hiddenButton="1"/>
  </autoFilter>
  <tableColumns count="2">
    <tableColumn id="1" xr3:uid="{88A89770-2938-4F24-80AC-4B8C88A4FD8B}" name="Product">
      <calculatedColumnFormula>Table_SourceData_Scope3_Feed[[#This Row],[Product]]</calculatedColumnFormula>
    </tableColumn>
    <tableColumn id="2" xr3:uid="{5FD6EE39-72D4-4D8D-83F7-4237FE85E9CD}"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941697A5-5860-4B30-B194-80CE3AFF809F}" name="Table_ProductRegions_Wheatgrain" displayName="Table_ProductRegions_Wheatgrain" ref="L109:M117" totalsRowShown="0" headerRowDxfId="239" headerRowCellStyle="Content normal">
  <autoFilter ref="L109:M117" xr:uid="{9DD7D3AD-59A1-48FC-B80D-99C25A2A79F5}">
    <filterColumn colId="0" hiddenButton="1"/>
    <filterColumn colId="1" hiddenButton="1"/>
  </autoFilter>
  <tableColumns count="2">
    <tableColumn id="1" xr3:uid="{1CCC1E0E-7092-4F71-B717-25F16B536491}" name="Product">
      <calculatedColumnFormula>Table_SourceData_Scope3_Feed[[#This Row],[Product]]</calculatedColumnFormula>
    </tableColumn>
    <tableColumn id="2" xr3:uid="{479D7907-D709-42E7-AA26-C496F4EA2883}"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74A05E16-1124-4DA6-98B2-057D8913FF61}"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774CA8E8-0973-48AD-84F3-C70A84D98E94}" name="Product">
      <calculatedColumnFormula>Table_SourceData_Scope3_Feed[[#This Row],[Product]]</calculatedColumnFormula>
    </tableColumn>
    <tableColumn id="2" xr3:uid="{02B1F615-8CEB-4150-8370-0C74D9E0B145}"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D77A0A00-725E-4B95-AAF3-D72FE9DF2041}"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7B193463-3779-40C7-BD41-8F7794ED9E83}" name="Product">
      <calculatedColumnFormula>Table_SourceData_Scope3_Feed[[#This Row],[Product]]</calculatedColumnFormula>
    </tableColumn>
    <tableColumn id="2" xr3:uid="{39CD165C-D8AA-4038-AD72-0816CA941BDF}"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60E29296-016A-48D5-8C34-BF118876823C}"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4B7E7550-CDB6-4F0E-B8BB-B3EC66F84B5E}" name="Product">
      <calculatedColumnFormula>Table_SourceData_Scope3_Feed[[#This Row],[Product]]</calculatedColumnFormula>
    </tableColumn>
    <tableColumn id="2" xr3:uid="{A56107EC-7662-436F-BE60-5A76B11A28BD}"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75EB69BC-F4C0-4B53-91C6-BEEFBF09E084}"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0AD828BE-036F-4716-89BA-E2E810E555B0}" name="Product">
      <calculatedColumnFormula>Table_SourceData_Scope3_Feed[[#This Row],[Product]]</calculatedColumnFormula>
    </tableColumn>
    <tableColumn id="2" xr3:uid="{FE7CA6CB-0FF1-4012-8530-75C0FBC6F3C8}" name="Region">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B847EAEE-E0DA-474C-BA2F-51441616B799}"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B9668982-AD9C-4489-A325-FF5D6BA42CC1}" name="Product">
      <calculatedColumnFormula>Table_SourceData_Scope3_Feed[[#This Row],[Product]]</calculatedColumnFormula>
    </tableColumn>
    <tableColumn id="2" xr3:uid="{3EADBDE1-3586-4796-A38A-60911F28EC2E}"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157CC6E8-F6C6-4359-B6AE-A0D271B8313D}" name="Table_ProductRegions_Canolameal" displayName="Table_ProductRegions_Canolameal" ref="L150:M151" totalsRowShown="0" headerRowDxfId="238" headerRowCellStyle="Content normal" dataCellStyle="Content normal">
  <autoFilter ref="L150:M151" xr:uid="{58F78B6F-294E-4D4E-8E3B-BFE4FA85583E}">
    <filterColumn colId="0" hiddenButton="1"/>
    <filterColumn colId="1" hiddenButton="1"/>
  </autoFilter>
  <tableColumns count="2">
    <tableColumn id="1" xr3:uid="{74FD9F0A-5A93-4302-8019-49721CB0909F}" name="Product" dataCellStyle="Content normal">
      <calculatedColumnFormula>Table_SourceData_Scope3_Feed[[#This Row],[Product]]</calculatedColumnFormula>
    </tableColumn>
    <tableColumn id="2" xr3:uid="{7FD505F7-7623-4A4B-8C7A-F9A4AAC83220}"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77D65A4E-9251-42DC-AD67-515D0AD4F228}"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10A8F686-3A02-4C46-9DCB-C4EA200827EF}" name="Product">
      <calculatedColumnFormula>Table_SourceData_Scope3_Feed[[#This Row],[Product]]</calculatedColumnFormula>
    </tableColumn>
    <tableColumn id="2" xr3:uid="{CAA0306E-4A8F-4CEC-A5B9-BF3887186A75}"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3EF88ADA-BF3C-4E9E-BB67-4213CCF1C9FA}"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0C32BF33-87D3-44FC-AE6E-81E27A593507}" name="Product">
      <calculatedColumnFormula>Table_SourceData_Scope3_Feed[[#This Row],[Product]]</calculatedColumnFormula>
    </tableColumn>
    <tableColumn id="2" xr3:uid="{BFB210FE-0ADE-4155-AA83-A331567634D9}"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EFD07C2-8E19-450D-9D55-C2C27E2587DD}"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B9E2C786-30C2-400C-9BBF-B235EC9A42D0}" name="Product">
      <calculatedColumnFormula>Table_SourceData_Scope3_Feed[[#This Row],[Product]]</calculatedColumnFormula>
    </tableColumn>
    <tableColumn id="2" xr3:uid="{5ABF3777-A16F-4176-90D6-F542DD65FC2A}"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742A8C9-1193-4A43-B264-1280E5F9C012}"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FC156D17-70FF-4CDA-9F35-06A88689308D}" name="Product">
      <calculatedColumnFormula>Table_SourceData_Scope3_Feed[[#This Row],[Product]]</calculatedColumnFormula>
    </tableColumn>
    <tableColumn id="2" xr3:uid="{1809FBEF-22AC-4F6C-A9FA-429F7F2807E9}"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98233A6A-6BCF-4BB0-B501-CDD8AC2E980D}"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8C21C4B1-6FE4-4FB9-968B-417455A10A2F}" name="Product">
      <calculatedColumnFormula>Table_SourceData_Scope3_Feed[[#This Row],[Product]]</calculatedColumnFormula>
    </tableColumn>
    <tableColumn id="2" xr3:uid="{A75327A7-CA29-4E45-9BB8-ED0D707EC178}"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8F8937A-BBF0-4E71-AFEB-5F5689252C92}"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F2AF2E3D-5CD2-46B6-BD4D-5FE44428A3CA}" name="Product">
      <calculatedColumnFormula>Table_SourceData_Scope3_Feed[[#This Row],[Product]]</calculatedColumnFormula>
    </tableColumn>
    <tableColumn id="2" xr3:uid="{1160E1EA-F80E-4E84-B7C0-62326538DF8E}"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D82AC8AA-D6E0-4366-AFAB-F4AF15CC7F81}"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311E6FB2-D299-458F-A0DB-5A84511D3BB2}" name="Product">
      <calculatedColumnFormula>Table_SourceData_Scope3_Feed[[#This Row],[Product]]</calculatedColumnFormula>
    </tableColumn>
    <tableColumn id="2" xr3:uid="{092C00CA-AE04-4C2F-9A70-25C11A316B58}"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EAC551F0-63DF-4DBE-91C8-08545794B098}"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A608A1C1-E646-4214-933F-84E86C4A3E9B}" name="Region"/>
    <tableColumn id="2" xr3:uid="{974A6587-BD29-483A-88EF-A0DEA24AB978}" name="Scope3 regio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45FEE632-B6D5-480B-9749-7B31CF07810F}" name="Table_SourceData_Scope3_FishFeedAndBait" displayName="Table_SourceData_Scope3_FishFeedAndBait" ref="D241:J247" totalsRowShown="0" dataDxfId="237"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72EB969D-12DC-4D50-BCC4-498D25033AC3}" name="Category" dataDxfId="236" dataCellStyle="Content normal">
      <calculatedColumnFormula array="1">Common_InputFunctions.Utility_DisplayArrayInTable(Scope3_SourceData.Scope3_FishFeedAndBait_Data(), Table_SourceData_Scope3_FishFeedAndBait[[#Headers],[Category]], 0, 1)</calculatedColumnFormula>
    </tableColumn>
    <tableColumn id="1" xr3:uid="{6A8A4341-FD8C-41BD-9855-109600901B4B}" name="Product" dataDxfId="235" dataCellStyle="Content normal">
      <calculatedColumnFormula array="1">Common_InputFunctions.Utility_DisplayArrayInTable(Scope3_SourceData.Scope3_FishFeedAndBait_Data(), Table_SourceData_Scope3_FishFeedAndBait[[#Headers],[Category]], 0, 1)</calculatedColumnFormula>
    </tableColumn>
    <tableColumn id="2" xr3:uid="{392C902E-9EF7-44E8-9CD6-220EBD686870}" name="Region of origin" dataDxfId="234" dataCellStyle="Content normal">
      <calculatedColumnFormula array="1">Common_InputFunctions.Utility_DisplayArrayInTable(Scope3_SourceData.Scope3_FishFeedAndBait_Data(), Table_SourceData_Scope3_FishFeedAndBait[[#Headers],[Category]], 0, 1)</calculatedColumnFormula>
    </tableColumn>
    <tableColumn id="3" xr3:uid="{4DBEB0E7-17FF-4080-AC81-C31570ABAACB}" name="Quantity Unit" dataDxfId="233" dataCellStyle="Content normal">
      <calculatedColumnFormula array="1">Common_InputFunctions.Utility_DisplayArrayInTable(Scope3_SourceData.Scope3_FishFeedAndBait_Data(), Table_SourceData_Scope3_FishFeedAndBait[[#Headers],[Category]], 0, 1)</calculatedColumnFormula>
    </tableColumn>
    <tableColumn id="4" xr3:uid="{10A3A0B5-889B-451D-83DA-E6E8601ECB6C}" name="Emissions intensity" dataDxfId="232" dataCellStyle="Content normal">
      <calculatedColumnFormula array="1">Common_InputFunctions.Utility_DisplayArrayInTable(Scope3_SourceData.Scope3_FishFeedAndBait_Data(), Table_SourceData_Scope3_FishFeedAndBait[[#Headers],[Category]], 0, 1)</calculatedColumnFormula>
    </tableColumn>
    <tableColumn id="5" xr3:uid="{E836AB76-6A77-4E86-83E8-3776319A2B4E}" name="System boundary" dataDxfId="231" dataCellStyle="Content normal">
      <calculatedColumnFormula array="1">Common_InputFunctions.Utility_DisplayArrayInTable(Scope3_SourceData.Scope3_FishFeedAndBait_Data(), Table_SourceData_Scope3_FishFeedAndBait[[#Headers],[Category]], 0, 1)</calculatedColumnFormula>
    </tableColumn>
    <tableColumn id="8" xr3:uid="{482B8CC3-C39D-4CDD-BFFD-D38AC10477C1}" name="Source" dataDxfId="230" dataCellStyle="Content normal"/>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09B6ECF-477D-42A5-A32F-5653FEC66CCF}"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163BB19A-A24D-4896-B89A-9F05BCDB4A11}"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DD040769-97A5-40D0-8F25-F74A0D91DF3C}" name="Waste type w" dataDxfId="22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686D6330-061E-4154-BCFA-456579431183}" name="EFwt" dataDxfId="22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ACF9350D-6AD7-4451-BEAB-7788063B870A}" name="EF source" dataDxfId="22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1B3EBFA-9D8E-41B7-90E6-0A97BF3593EC}"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57822261-E682-45D4-A57F-C6ACAC634903}"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6F2D01E4-C742-49A9-BCC8-73E2D6374FA4}" name="VTMw" dataDxfId="226"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57D3AD8C-CDAF-467C-9D37-6D30A299BBF3}" name="Table_WasteTypes_Landfill" displayName="Table_WasteTypes_Landfill" ref="I16:I27" totalsRowShown="0">
  <autoFilter ref="I16:I27" xr:uid="{99B942E3-1D24-4166-921C-DCC10960718D}">
    <filterColumn colId="0" hiddenButton="1"/>
  </autoFilter>
  <tableColumns count="1">
    <tableColumn id="1" xr3:uid="{928B6457-3FA0-49C4-AAF5-449905DE5EA2}"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AB4B69B7-B544-491F-8DA1-33969F4B1AAA}" name="Table_WasteTypes_Incineration" displayName="Table_WasteTypes_Incineration" ref="K16:K26" totalsRowShown="0" headerRowDxfId="225" headerRowCellStyle="Content normal" dataCellStyle="Content normal">
  <autoFilter ref="K16:K26" xr:uid="{9A900595-7035-4239-9059-ACC16835BF72}">
    <filterColumn colId="0" hiddenButton="1"/>
  </autoFilter>
  <tableColumns count="1">
    <tableColumn id="1" xr3:uid="{876639D5-5858-4DAA-934A-955A4FF59639}" name="Waste type w" dataCellStyle="Content normal">
      <calculatedColumnFormula>E29</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A61BE706-FF9B-435F-8CF7-BF7A13807F6F}" name="Table_WasteTypes_Composting" displayName="Table_WasteTypes_Composting" ref="M16:M21" totalsRowShown="0" headerRowDxfId="224" headerRowCellStyle="Content normal" dataCellStyle="Content normal">
  <autoFilter ref="M16:M21" xr:uid="{5C8D39D3-1330-49EB-B431-1B2B8C8238DC}">
    <filterColumn colId="0" hiddenButton="1"/>
  </autoFilter>
  <tableColumns count="1">
    <tableColumn id="1" xr3:uid="{EE4ABBAA-B7FC-47B3-937B-149D3741BFF5}" name="Waste type w" totalsRowDxfId="223" dataCellStyle="Content normal">
      <calculatedColumnFormula>E40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81EC0CD-852D-43AF-91F4-A443D17CDCAE}" name="Table_WasteTypes_Anaerobicdigestion" displayName="Table_WasteTypes_Anaerobicdigestion" ref="O16:O21" totalsRowShown="0" headerRowDxfId="222" headerRowCellStyle="Content normal" dataCellStyle="Content normal">
  <autoFilter ref="O16:O21" xr:uid="{331EC43E-DF68-429F-A2A4-58BFE6216EC3}">
    <filterColumn colId="0" hiddenButton="1"/>
  </autoFilter>
  <tableColumns count="1">
    <tableColumn id="1" xr3:uid="{EF157BF1-21ED-40D2-AE44-F46F90337B88}" name="Waste type w" totalsRowDxfId="221" dataCellStyle="Content normal">
      <calculatedColumnFormula>E46</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22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21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21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21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21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21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21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21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21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21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21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0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0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0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0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0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0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0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0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0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8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84" dataCellStyle="Content normal"/>
    <tableColumn id="2" xr3:uid="{A467D3D2-FAE8-4B4F-AD2F-273B449008EF}" name="Description" dataDxfId="18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8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8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8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3BF22818-6D29-4BD7-8B0F-39C76577AFE0}" name="Table_Input_InorganicFertiliser_Brands" displayName="Table_Input_InorganicFertiliser_Brands" ref="D11:Z21" headerRowDxfId="179" dataDxfId="178" totalsRowDxfId="177">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1EAB48A2-549D-4543-B0E4-5674E410E99E}" name="Product (select)" dataDxfId="176" totalsRowDxfId="175" dataCellStyle="Input select"/>
    <tableColumn id="23" xr3:uid="{39F8C2D6-F27B-4F36-9654-9FCC39602D7D}" name="Amount applied per hectare" totalsRowFunction="custom" dataDxfId="174" totalsRowDxfId="173">
      <totalsRowFormula>SUM(Table_Input_InorganicFertiliser_Brands[[#Headers],[#Data],[Amount applied per hectare]])</totalsRowFormula>
    </tableColumn>
    <tableColumn id="12" xr3:uid="{D953A312-BE9D-4F0A-8813-A5E621805842}" name="Application unit" dataDxfId="172" totalsRowDxfId="171" dataCellStyle="Input number 2 decimal places"/>
    <tableColumn id="6" xr3:uid="{A765BBCC-4409-4F28-B928-F522A1A0A975}" name="Application area (ha)" dataDxfId="170" totalsRowDxfId="169">
      <calculatedColumnFormula>X_Cell_Fertiliser_AreaUnderCropping</calculatedColumnFormula>
    </tableColumn>
    <tableColumn id="9" xr3:uid="{5E041A09-44D4-408C-9996-8F02464CA069}" name="Density" dataDxfId="168" totalsRowDxfId="167" dataCellStyle="Input number general calculated"/>
    <tableColumn id="1" xr3:uid="{F53F7431-825F-4E20-BBD9-4F54A9F869A0}" name="Total applied (kg)" dataDxfId="166" totalsRowDxfId="165"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DC4673A6-0CE4-493F-A21F-D2535DC623A8}" name="Ingredient 1" dataDxfId="164" totalsRowDxfId="163" dataCellStyle="Input number general calculated"/>
    <tableColumn id="4" xr3:uid="{07208572-E28D-4B66-AC49-03156D62BC3E}" name="Ingredient 1 percent" dataDxfId="162" dataCellStyle="Input number general calculated"/>
    <tableColumn id="7" xr3:uid="{AB741C37-4A9D-422C-AAA5-87C65E6A639C}" name="Ingredient 2" dataDxfId="161" dataCellStyle="Input number general calculated"/>
    <tableColumn id="8" xr3:uid="{D443E8B9-0B39-4286-A922-E2A7790FF13B}" name="Ingredient 2 percent" dataDxfId="160" totalsRowDxfId="159" dataCellStyle="Input number general calculated"/>
    <tableColumn id="10" xr3:uid="{CF321048-91EA-4605-A289-743ED8C8388E}" name="Ingredient 3" dataDxfId="158" totalsRowDxfId="157" dataCellStyle="Input number general calculated"/>
    <tableColumn id="11" xr3:uid="{89404E03-B041-4148-BB9F-C3E616220B6A}" name="Ingredient 3 percent" dataDxfId="156" totalsRowDxfId="155" dataCellStyle="Input number general calculated"/>
    <tableColumn id="13" xr3:uid="{D91E82AE-C8C1-4D4B-9ACA-45ADFF59114B}" name="Ingredient 4" dataDxfId="154" totalsRowDxfId="153" dataCellStyle="Input number general calculated"/>
    <tableColumn id="14" xr3:uid="{784720A9-D9E4-48E1-A2A9-0EA1ACE9DE4E}" name="Ingredient 4 percent" dataDxfId="152" dataCellStyle="Input number general calculated"/>
    <tableColumn id="16" xr3:uid="{2C7B5A94-3EC9-49B7-A79E-156A8D039838}" name="Ingredient 5" dataDxfId="151" dataCellStyle="Input number general calculated"/>
    <tableColumn id="17" xr3:uid="{A9BB0ECF-203C-47D8-92D2-B232C9DCBC3D}" name="Ingredient 5 percent" dataDxfId="150" dataCellStyle="Input number general calculated"/>
    <tableColumn id="19" xr3:uid="{D3027CA2-9AFE-4A45-BD64-CFF1ED7E3238}" name="Ingredient 6" dataDxfId="149" dataCellStyle="Input number general calculated"/>
    <tableColumn id="20" xr3:uid="{26FDD432-CBB1-402E-8B18-C2D71BB6565D}" name="Ingredient 6 percent" dataDxfId="148" dataCellStyle="Input number general calculated"/>
    <tableColumn id="21" xr3:uid="{609A7794-A800-4CEC-93BD-EDC8011D7220}" name="% N (Ingredients)" dataDxfId="147" dataCellStyle="Input number general calculated"/>
    <tableColumn id="22" xr3:uid="{A9945E88-78AF-4BA9-B1B4-D1188783562E}" name="% N (declared)" dataDxfId="146" dataCellStyle="Content normal"/>
    <tableColumn id="5" xr3:uid="{2166030C-F9FB-464B-ADD2-011EFCEF2BC4}" name="N application rate (kg/ha)" dataDxfId="145" totalsRowDxfId="144"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D2B257E8-0F69-4ECC-ADDD-FDDC66868132}" name="Urea source" dataDxfId="143" totalsRowDxfId="142" dataCellStyle="Input number general calculated"/>
    <tableColumn id="18" xr3:uid="{790C4A7D-CFBF-42F1-86A8-4E46FA1B1768}" name="Ammonia source" dataDxfId="141" totalsRowDxfId="140" dataCellStyle="Input number general calculated"/>
  </tableColumns>
  <tableStyleInfo name="Editable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DCAB9FE-109C-4820-8306-7EC73B9833C1}" name="Table_Input_InorganicFertiliser_Custom" displayName="Table_Input_InorganicFertiliser_Custom" ref="D24:R34" totalsRowShown="0" headerRowDxfId="139" dataDxfId="138">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CAE6CBB-EF6B-4067-A103-1724B54AF27F}" name="Custom blend name" dataCellStyle="Input text"/>
    <tableColumn id="2" xr3:uid="{6910F4AE-9606-4577-B6B5-BEACEC2668CF}" name="Amount applied (kg / ha)" dataDxfId="137"/>
    <tableColumn id="3" xr3:uid="{973454A9-1005-4BCB-887B-34AF35335F62}" name="Application area (ha)" dataDxfId="136" dataCellStyle="Input number 2 decimal places">
      <calculatedColumnFormula>X_Cell_Fertiliser_AreaUnderCropping</calculatedColumnFormula>
    </tableColumn>
    <tableColumn id="4" xr3:uid="{AC537E69-4888-4131-9B72-8F508E5D864A}" name="Total applied (kg)" dataDxfId="135" dataCellStyle="Input number general calculated">
      <calculatedColumnFormula>Table_Input_InorganicFertiliser_Custom[[#This Row],[Amount applied (kg / ha)]]*Table_Input_InorganicFertiliser_Custom[[#This Row],[Application area (ha)]]</calculatedColumnFormula>
    </tableColumn>
    <tableColumn id="5" xr3:uid="{F0A72E4B-F310-4CBF-9004-2FD7BA5517A3}" name="Ingredient 1 (select)" dataDxfId="134" dataCellStyle="Input select"/>
    <tableColumn id="6" xr3:uid="{00329F48-6F54-44DF-A60B-BC6D86D2F07E}" name="Ingredient 1 percent" dataDxfId="133"/>
    <tableColumn id="8" xr3:uid="{C645FC97-2E9E-4A16-BD79-2531CD0D5207}" name="Ingredient 2" dataDxfId="132" dataCellStyle="Input select"/>
    <tableColumn id="9" xr3:uid="{8FF10101-F925-4795-92FE-7398A434898A}" name="Ingredient 2 percent" dataDxfId="131"/>
    <tableColumn id="11" xr3:uid="{F36E618A-8C60-447F-A39E-723CA141668F}" name="Ingredient 3" dataDxfId="130" dataCellStyle="Input select"/>
    <tableColumn id="12" xr3:uid="{0A29115D-B9A6-437A-A2D5-D95F09CDE067}" name="Ingredient 3 percent" dataDxfId="129"/>
    <tableColumn id="14" xr3:uid="{D3B072F2-2163-420B-809C-C786737A4BFF}" name="Ingredient 4" dataDxfId="128" dataCellStyle="Input select"/>
    <tableColumn id="15" xr3:uid="{73076CE6-764A-4CA5-A494-76E8B81FDAA8}" name="Ingredient 4 percent" dataCellStyle="Input percent"/>
    <tableColumn id="7" xr3:uid="{CD0F4126-98F6-40B2-BCB0-04D6F2FE7649}" name="N application rate (kg/ha)" dataDxfId="127" dataCellStyle="Input number general calculated"/>
    <tableColumn id="10" xr3:uid="{3879C6B1-3BF3-4220-8DA9-4AEB8CB08D69}" name="Urea source (Select)" dataCellStyle="Input select"/>
    <tableColumn id="13" xr3:uid="{D141FC10-5921-41D8-BA67-7577D0C4B5D0}" name="Ammonia source (select)" dataCellStyle="Input select"/>
  </tableColumns>
  <tableStyleInfo name="Editable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FF4F9884-86BA-4F88-866F-5E85FF221D44}" name="Table_Input_Lime" displayName="Table_Input_Lime" ref="D41:K44" totalsRowShown="0" headerRowDxfId="126" dataDxfId="125"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96E8BD3-8F1A-4135-A487-7E2D52B6FDA7}" name="Product" dataDxfId="124"/>
    <tableColumn id="2" xr3:uid="{91B03F2E-36A0-48A3-A451-47774E9DAE4B}" name="Amount applied (t/hectare)" dataDxfId="123"/>
    <tableColumn id="4" xr3:uid="{6BD44B6B-3414-4FD4-B015-4145F95FD2EF}" name="Application area (ha)" dataDxfId="122" dataCellStyle="Input number 2 decimal places">
      <calculatedColumnFormula>X_Cell_Fertiliser_AreaUnderCropping</calculatedColumnFormula>
    </tableColumn>
    <tableColumn id="3" xr3:uid="{0442513C-9B42-4288-863E-98180B6B6C72}" name="Total amount applied (t)" dataDxfId="121" dataCellStyle="Input number general calculated">
      <calculatedColumnFormula>IFERROR(Table_Input_Lime[[#This Row],[Amount applied (t/hectare)]]*Table_Input_Lime[[#This Row],[Application area (ha)]], 0)</calculatedColumnFormula>
    </tableColumn>
    <tableColumn id="6" xr3:uid="{0BD861B4-19C1-4E06-91A1-23BEACF02F02}" name="Percent Lime CaCO3" dataDxfId="120"/>
    <tableColumn id="8" xr3:uid="{161D667B-EFF8-468B-86B5-3079F1F51CBC}" name="Percent Dolomite CaMg(CO3)2" dataDxfId="119"/>
    <tableColumn id="7" xr3:uid="{6C8B5868-0759-47E5-9693-D48CE94157A3}" name="Percent Gypsum" dataDxfId="118"/>
    <tableColumn id="10" xr3:uid="{1DC31386-0F08-43B7-A2CE-0658E0987A93}" name="Total" dataDxfId="117"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D7B86D5-C403-48FB-938C-82CE245D2CE2}" name="Table_Input_OrganicFertiliser" displayName="Table_Input_OrganicFertiliser" ref="D53:J56" totalsRowShown="0" headerRowDxfId="116" dataDxfId="115"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AEBD1A9-D4AB-4313-A7B9-C8954EC382B6}" name="Organic fertiliser type (select)" dataDxfId="114" dataCellStyle="Input select"/>
    <tableColumn id="5" xr3:uid="{8104DEFE-1BEB-44B1-8EF8-C4F74B5A2C6A}" name="Percentage of N in fertiliser" dataDxfId="113"/>
    <tableColumn id="2" xr3:uid="{2450F950-64B1-4DBF-8FC1-AE7AC035857C}" name="Amount applied (kg/hectare)" dataDxfId="112"/>
    <tableColumn id="11" xr3:uid="{399EB96A-3C0A-48B9-B26B-1508EEE48462}" name="Amount N applied (kg/hectare)" dataDxfId="111" dataCellStyle="Input number general calculated">
      <calculatedColumnFormula>Table_Input_OrganicFertiliser[[#This Row],[Amount applied (kg/hectare)]]*Table_Input_OrganicFertiliser[[#This Row],[Percentage of N in fertiliser]]</calculatedColumnFormula>
    </tableColumn>
    <tableColumn id="4" xr3:uid="{B2EAED71-CDDC-42AB-84C8-7EA853126867}" name="Application area (ha)" dataDxfId="110" dataCellStyle="Input number 2 decimal places">
      <calculatedColumnFormula>X_Cell_Fertiliser_AreaUnderCropping</calculatedColumnFormula>
    </tableColumn>
    <tableColumn id="7" xr3:uid="{54DBCFF3-ED0C-45BA-A403-197BC8A90DC2}" name="Total organic fertliser applied" dataDxfId="109" dataCellStyle="Input number general calculated">
      <calculatedColumnFormula>Table_Input_OrganicFertiliser[[#This Row],[Amount applied (kg/hectare)]]*Table_Input_OrganicFertiliser[[#This Row],[Application area (ha)]]</calculatedColumnFormula>
    </tableColumn>
    <tableColumn id="3" xr3:uid="{FDD8D196-7152-4731-A917-E5AAC88E5FAF}" name="Total nitrogen applied (kg)" dataDxfId="108"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26.xml"/><Relationship Id="rId13" Type="http://schemas.openxmlformats.org/officeDocument/2006/relationships/table" Target="../tables/table31.xml"/><Relationship Id="rId3" Type="http://schemas.openxmlformats.org/officeDocument/2006/relationships/table" Target="../tables/table21.xml"/><Relationship Id="rId7" Type="http://schemas.openxmlformats.org/officeDocument/2006/relationships/table" Target="../tables/table25.xml"/><Relationship Id="rId12" Type="http://schemas.openxmlformats.org/officeDocument/2006/relationships/table" Target="../tables/table30.xml"/><Relationship Id="rId2" Type="http://schemas.openxmlformats.org/officeDocument/2006/relationships/table" Target="../tables/table20.xml"/><Relationship Id="rId1" Type="http://schemas.openxmlformats.org/officeDocument/2006/relationships/printerSettings" Target="../printerSettings/printerSettings19.bin"/><Relationship Id="rId6" Type="http://schemas.openxmlformats.org/officeDocument/2006/relationships/table" Target="../tables/table24.xml"/><Relationship Id="rId11" Type="http://schemas.openxmlformats.org/officeDocument/2006/relationships/table" Target="../tables/table29.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 Id="rId14" Type="http://schemas.openxmlformats.org/officeDocument/2006/relationships/table" Target="../tables/table32.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12" Type="http://schemas.openxmlformats.org/officeDocument/2006/relationships/table" Target="../tables/table46.xml"/><Relationship Id="rId2" Type="http://schemas.openxmlformats.org/officeDocument/2006/relationships/table" Target="../tables/table36.xml"/><Relationship Id="rId1" Type="http://schemas.openxmlformats.org/officeDocument/2006/relationships/printerSettings" Target="../printerSettings/printerSettings21.bin"/><Relationship Id="rId6" Type="http://schemas.openxmlformats.org/officeDocument/2006/relationships/table" Target="../tables/table40.xml"/><Relationship Id="rId11" Type="http://schemas.openxmlformats.org/officeDocument/2006/relationships/table" Target="../tables/table45.xml"/><Relationship Id="rId5" Type="http://schemas.openxmlformats.org/officeDocument/2006/relationships/table" Target="../tables/table39.xml"/><Relationship Id="rId10" Type="http://schemas.openxmlformats.org/officeDocument/2006/relationships/table" Target="../tables/table44.xml"/><Relationship Id="rId4" Type="http://schemas.openxmlformats.org/officeDocument/2006/relationships/table" Target="../tables/table38.xml"/><Relationship Id="rId9"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49.xml"/><Relationship Id="rId7" Type="http://schemas.openxmlformats.org/officeDocument/2006/relationships/table" Target="../tables/table53.xml"/><Relationship Id="rId2" Type="http://schemas.openxmlformats.org/officeDocument/2006/relationships/table" Target="../tables/table48.xml"/><Relationship Id="rId1" Type="http://schemas.openxmlformats.org/officeDocument/2006/relationships/table" Target="../tables/table47.xml"/><Relationship Id="rId6" Type="http://schemas.openxmlformats.org/officeDocument/2006/relationships/table" Target="../tables/table52.xml"/><Relationship Id="rId5" Type="http://schemas.openxmlformats.org/officeDocument/2006/relationships/table" Target="../tables/table51.xml"/><Relationship Id="rId4" Type="http://schemas.openxmlformats.org/officeDocument/2006/relationships/table" Target="../tables/table50.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61.xml"/><Relationship Id="rId13" Type="http://schemas.openxmlformats.org/officeDocument/2006/relationships/table" Target="../tables/table66.xml"/><Relationship Id="rId18" Type="http://schemas.openxmlformats.org/officeDocument/2006/relationships/table" Target="../tables/table71.xml"/><Relationship Id="rId26" Type="http://schemas.openxmlformats.org/officeDocument/2006/relationships/table" Target="../tables/table79.xml"/><Relationship Id="rId3" Type="http://schemas.openxmlformats.org/officeDocument/2006/relationships/table" Target="../tables/table56.xml"/><Relationship Id="rId21" Type="http://schemas.openxmlformats.org/officeDocument/2006/relationships/table" Target="../tables/table74.xml"/><Relationship Id="rId7" Type="http://schemas.openxmlformats.org/officeDocument/2006/relationships/table" Target="../tables/table60.xml"/><Relationship Id="rId12" Type="http://schemas.openxmlformats.org/officeDocument/2006/relationships/table" Target="../tables/table65.xml"/><Relationship Id="rId17" Type="http://schemas.openxmlformats.org/officeDocument/2006/relationships/table" Target="../tables/table70.xml"/><Relationship Id="rId25" Type="http://schemas.openxmlformats.org/officeDocument/2006/relationships/table" Target="../tables/table78.xml"/><Relationship Id="rId2" Type="http://schemas.openxmlformats.org/officeDocument/2006/relationships/table" Target="../tables/table55.xml"/><Relationship Id="rId16" Type="http://schemas.openxmlformats.org/officeDocument/2006/relationships/table" Target="../tables/table69.xml"/><Relationship Id="rId20" Type="http://schemas.openxmlformats.org/officeDocument/2006/relationships/table" Target="../tables/table73.xml"/><Relationship Id="rId29" Type="http://schemas.openxmlformats.org/officeDocument/2006/relationships/table" Target="../tables/table82.xml"/><Relationship Id="rId1" Type="http://schemas.openxmlformats.org/officeDocument/2006/relationships/table" Target="../tables/table54.xml"/><Relationship Id="rId6" Type="http://schemas.openxmlformats.org/officeDocument/2006/relationships/table" Target="../tables/table59.xml"/><Relationship Id="rId11" Type="http://schemas.openxmlformats.org/officeDocument/2006/relationships/table" Target="../tables/table64.xml"/><Relationship Id="rId24" Type="http://schemas.openxmlformats.org/officeDocument/2006/relationships/table" Target="../tables/table77.xml"/><Relationship Id="rId5" Type="http://schemas.openxmlformats.org/officeDocument/2006/relationships/table" Target="../tables/table58.xml"/><Relationship Id="rId15" Type="http://schemas.openxmlformats.org/officeDocument/2006/relationships/table" Target="../tables/table68.xml"/><Relationship Id="rId23" Type="http://schemas.openxmlformats.org/officeDocument/2006/relationships/table" Target="../tables/table76.xml"/><Relationship Id="rId28" Type="http://schemas.openxmlformats.org/officeDocument/2006/relationships/table" Target="../tables/table81.xml"/><Relationship Id="rId10" Type="http://schemas.openxmlformats.org/officeDocument/2006/relationships/table" Target="../tables/table63.xml"/><Relationship Id="rId19" Type="http://schemas.openxmlformats.org/officeDocument/2006/relationships/table" Target="../tables/table72.xml"/><Relationship Id="rId31" Type="http://schemas.openxmlformats.org/officeDocument/2006/relationships/table" Target="../tables/table84.xml"/><Relationship Id="rId4" Type="http://schemas.openxmlformats.org/officeDocument/2006/relationships/table" Target="../tables/table57.xml"/><Relationship Id="rId9" Type="http://schemas.openxmlformats.org/officeDocument/2006/relationships/table" Target="../tables/table62.xml"/><Relationship Id="rId14" Type="http://schemas.openxmlformats.org/officeDocument/2006/relationships/table" Target="../tables/table67.xml"/><Relationship Id="rId22" Type="http://schemas.openxmlformats.org/officeDocument/2006/relationships/table" Target="../tables/table75.xml"/><Relationship Id="rId27" Type="http://schemas.openxmlformats.org/officeDocument/2006/relationships/table" Target="../tables/table80.xml"/><Relationship Id="rId30" Type="http://schemas.openxmlformats.org/officeDocument/2006/relationships/table" Target="../tables/table83.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86.xml"/><Relationship Id="rId7" Type="http://schemas.openxmlformats.org/officeDocument/2006/relationships/table" Target="../tables/table90.xml"/><Relationship Id="rId2" Type="http://schemas.openxmlformats.org/officeDocument/2006/relationships/table" Target="../tables/table85.xml"/><Relationship Id="rId1" Type="http://schemas.openxmlformats.org/officeDocument/2006/relationships/printerSettings" Target="../printerSettings/printerSettings22.bin"/><Relationship Id="rId6" Type="http://schemas.openxmlformats.org/officeDocument/2006/relationships/table" Target="../tables/table89.xml"/><Relationship Id="rId5" Type="http://schemas.openxmlformats.org/officeDocument/2006/relationships/table" Target="../tables/table88.xml"/><Relationship Id="rId4" Type="http://schemas.openxmlformats.org/officeDocument/2006/relationships/table" Target="../tables/table87.xml"/></Relationships>
</file>

<file path=xl/worksheets/_rels/sheet38.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18" Type="http://schemas.openxmlformats.org/officeDocument/2006/relationships/table" Target="../tables/table107.xml"/><Relationship Id="rId3" Type="http://schemas.openxmlformats.org/officeDocument/2006/relationships/table" Target="../tables/table92.xml"/><Relationship Id="rId21" Type="http://schemas.openxmlformats.org/officeDocument/2006/relationships/table" Target="../tables/table110.xml"/><Relationship Id="rId7" Type="http://schemas.openxmlformats.org/officeDocument/2006/relationships/table" Target="../tables/table96.xml"/><Relationship Id="rId12" Type="http://schemas.openxmlformats.org/officeDocument/2006/relationships/table" Target="../tables/table101.xml"/><Relationship Id="rId17" Type="http://schemas.openxmlformats.org/officeDocument/2006/relationships/table" Target="../tables/table106.xml"/><Relationship Id="rId2" Type="http://schemas.openxmlformats.org/officeDocument/2006/relationships/table" Target="../tables/table91.xml"/><Relationship Id="rId16" Type="http://schemas.openxmlformats.org/officeDocument/2006/relationships/table" Target="../tables/table105.xml"/><Relationship Id="rId20" Type="http://schemas.openxmlformats.org/officeDocument/2006/relationships/table" Target="../tables/table109.xml"/><Relationship Id="rId1" Type="http://schemas.openxmlformats.org/officeDocument/2006/relationships/printerSettings" Target="../printerSettings/printerSettings23.bin"/><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19" Type="http://schemas.openxmlformats.org/officeDocument/2006/relationships/table" Target="../tables/table108.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 Id="rId22" Type="http://schemas.openxmlformats.org/officeDocument/2006/relationships/table" Target="../tables/table111.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113.xml"/><Relationship Id="rId2" Type="http://schemas.openxmlformats.org/officeDocument/2006/relationships/table" Target="../tables/table112.xml"/><Relationship Id="rId1" Type="http://schemas.openxmlformats.org/officeDocument/2006/relationships/printerSettings" Target="../printerSettings/printerSettings24.bin"/><Relationship Id="rId5" Type="http://schemas.openxmlformats.org/officeDocument/2006/relationships/table" Target="../tables/table115.xml"/><Relationship Id="rId4" Type="http://schemas.openxmlformats.org/officeDocument/2006/relationships/table" Target="../tables/table114.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5.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57"/>
  <sheetViews>
    <sheetView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5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Poultry'!A1", "Poultry")</f>
        <v>Poultry</v>
      </c>
    </row>
    <row r="12" spans="1:1" ht="20.100000000000001" customHeight="1" x14ac:dyDescent="0.2">
      <c r="A12" s="5" t="str">
        <f>HYPERLINK("#'Input - Livestock sales'!A1", "Livestock sales")</f>
        <v>Livestock sales</v>
      </c>
    </row>
    <row r="13" spans="1:1" ht="20.100000000000001" customHeight="1" x14ac:dyDescent="0.2">
      <c r="A13" s="5" t="str">
        <f>HYPERLINK("#'Input - Poultry purchases'!A1", "Poultry purchases")</f>
        <v>Poultry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59"/>
  <sheetViews>
    <sheetView showGridLines="0" tabSelected="1" zoomScaleNormal="100" workbookViewId="0">
      <pane xSplit="1" topLeftCell="B1" activePane="topRight" state="frozenSplit"/>
      <selection pane="topRight"/>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90" t="s">
        <v>256</v>
      </c>
      <c r="D1" s="90"/>
      <c r="E1" s="90"/>
      <c r="F1" s="90"/>
      <c r="G1" s="90"/>
      <c r="H1" s="90"/>
      <c r="I1" s="90"/>
      <c r="J1" s="90"/>
      <c r="K1" s="90"/>
    </row>
    <row r="2" spans="1:11" ht="20.100000000000001" customHeight="1" x14ac:dyDescent="0.2">
      <c r="C2" s="3"/>
      <c r="D2" s="3"/>
      <c r="E2" s="3"/>
      <c r="F2" s="3"/>
      <c r="G2" s="3"/>
      <c r="H2" s="3"/>
      <c r="I2" s="3"/>
      <c r="J2" s="3"/>
      <c r="K2" s="3"/>
    </row>
    <row r="3" spans="1:11" ht="20.100000000000001" customHeight="1" x14ac:dyDescent="0.2">
      <c r="A3" s="5" t="str">
        <f>HYPERLINK("#'Home'!A1", "Home")</f>
        <v>Home</v>
      </c>
      <c r="C3" s="91"/>
      <c r="D3" s="91"/>
      <c r="E3" s="91"/>
      <c r="F3" s="91"/>
      <c r="G3" s="91"/>
      <c r="H3" s="91"/>
      <c r="I3" s="91"/>
      <c r="J3" s="91"/>
      <c r="K3" s="91"/>
    </row>
    <row r="4" spans="1:11" ht="20.100000000000001" customHeight="1" x14ac:dyDescent="0.2">
      <c r="A4" s="255"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Emissions Intensity")</f>
        <v>Results - Product Emissions Intensity</v>
      </c>
    </row>
    <row r="6" spans="1:11" ht="20.100000000000001" customHeight="1" x14ac:dyDescent="0.2">
      <c r="D6" s="77" t="s">
        <v>235</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285</v>
      </c>
      <c r="E9" s="1">
        <f>_xlfn.SINGLE(VEERG_4_6_1_1__1_TotalAnnualMethaneEmissions_Result_Method1)</f>
        <v>1.9999321060623357E-2</v>
      </c>
      <c r="F9" s="1">
        <f>_xlfn.SINGLE(VEERG_4_6_1_1__1_TotalAnnualMethaneEmissions_Result_Method2)</f>
        <v>1.924586355691776E-2</v>
      </c>
      <c r="G9" s="9" t="s">
        <v>6</v>
      </c>
      <c r="H9" s="1" cm="1">
        <f t="array" ref="H9">Common_Equations.Common_ConvertCH4ToCO2e(E9,_xlfn.XLOOKUP("CH4", Table_GWPData[Gas],Table_GWPData[CO2-e factor]))</f>
        <v>0.55998098969745402</v>
      </c>
      <c r="I9" s="1" cm="1">
        <f t="array" ref="I9">Common_Equations.Common_ConvertCH4ToCO2e(F9,_xlfn.XLOOKUP("CH4", Table_GWPData[Gas],Table_GWPData[CO2-e factor]))</f>
        <v>0.53888417959369728</v>
      </c>
      <c r="J9" s="9" t="s">
        <v>7</v>
      </c>
    </row>
    <row r="10" spans="1:11" ht="20.100000000000001" customHeight="1" x14ac:dyDescent="0.2">
      <c r="A10" s="5" t="str">
        <f>HYPERLINK("#'Input - Site'!A1", "Site")</f>
        <v>Site</v>
      </c>
      <c r="D10" s="1" t="s">
        <v>286</v>
      </c>
      <c r="E10" s="1">
        <f>_xlfn.SINGLE(VEERG_4_6_1_3__1_TotalAnnualDirectNitrousOxideEmissionsFromMMS_Result_Method1)</f>
        <v>5.7674954756571411E-4</v>
      </c>
      <c r="F10" s="1">
        <f>_xlfn.SINGLE(VEERG_4_6_1_3__1_TotalAnnualDirectNitrousOxideEmissionsFromMMS_Result_Method2)</f>
        <v>5.7674954756571411E-4</v>
      </c>
      <c r="G10" s="9" t="s">
        <v>6</v>
      </c>
      <c r="H10" s="1" cm="1">
        <f t="array" ref="H10">Common_Equations.Common_ConvertN2OToCO2e(E10,_xlfn.XLOOKUP("N2O", Table_GWPData[Gas],Table_GWPData[CO2-e factor]))</f>
        <v>0.15283863010491425</v>
      </c>
      <c r="I10" s="1" cm="1">
        <f t="array" ref="I10">Common_Equations.Common_ConvertN2OToCO2e(F10,_xlfn.XLOOKUP("N2O", Table_GWPData[Gas],Table_GWPData[CO2-e factor]))</f>
        <v>0.15283863010491425</v>
      </c>
      <c r="J10" s="9" t="s">
        <v>7</v>
      </c>
    </row>
    <row r="11" spans="1:11" ht="20.100000000000001" customHeight="1" x14ac:dyDescent="0.2">
      <c r="A11" s="5" t="str">
        <f>HYPERLINK("#'Input - Poultry'!A1", "Poultry")</f>
        <v>Poultry</v>
      </c>
      <c r="D11" s="1" t="s">
        <v>287</v>
      </c>
      <c r="E11" s="1">
        <f>_xlfn.SINGLE(VEERG_4_6_1_5__1_TotalAnnualAtmosphericDepositionEmissionsFromMMS_Result_Method1)</f>
        <v>2.2877540674560014E-4</v>
      </c>
      <c r="F11" s="1">
        <f>_xlfn.SINGLE(VEERG_4_6_1_5__1_TotalAnnualAtmosphericDepositionEmissionsFromMMS_Result_Method2)</f>
        <v>2.2877540674560014E-4</v>
      </c>
      <c r="G11" s="9" t="s">
        <v>12</v>
      </c>
      <c r="H11" s="1" cm="1">
        <f t="array" ref="H11">Common_Equations.Common_ConvertN2OToCO2e(E11,_xlfn.XLOOKUP("N2O", Table_GWPData[Gas],Table_GWPData[CO2-e factor]))</f>
        <v>6.0625482787584034E-2</v>
      </c>
      <c r="I11" s="1" cm="1">
        <f t="array" ref="I11">Common_Equations.Common_ConvertN2OToCO2e(F11,_xlfn.XLOOKUP("N2O", Table_GWPData[Gas],Table_GWPData[CO2-e factor]))</f>
        <v>6.0625482787584034E-2</v>
      </c>
      <c r="J11" s="9" t="s">
        <v>7</v>
      </c>
    </row>
    <row r="12" spans="1:11" ht="20.100000000000001" customHeight="1" x14ac:dyDescent="0.2">
      <c r="A12" s="5" t="str">
        <f>HYPERLINK("#'Input - Livestock sales'!A1", "Livestock sales")</f>
        <v>Livestock sales</v>
      </c>
      <c r="D12" s="1" t="s">
        <v>288</v>
      </c>
      <c r="E12" s="1">
        <f>_xlfn.SINGLE(VEERG_4_6_1_7__1_AnnualEmissionsFromLeachingAndRunoffFromMMS_Result_Method1)</f>
        <v>3.4753311014399998E-6</v>
      </c>
      <c r="F12" s="1">
        <f>_xlfn.SINGLE(VEERG_4_6_1_7__1_AnnualEmissionsFromLeachingAndRunoffFromMMS_Result_Method2)</f>
        <v>3.4753311014399998E-6</v>
      </c>
      <c r="G12" s="9" t="s">
        <v>12</v>
      </c>
      <c r="H12" s="1" cm="1">
        <f t="array" ref="H12">Common_Equations.Common_ConvertN2OToCO2e(E12,_xlfn.XLOOKUP("N2O", Table_GWPData[Gas],Table_GWPData[CO2-e factor]))</f>
        <v>9.2096274188159999E-4</v>
      </c>
      <c r="I12" s="1" cm="1">
        <f t="array" ref="I12">Common_Equations.Common_ConvertN2OToCO2e(F12,_xlfn.XLOOKUP("N2O", Table_GWPData[Gas],Table_GWPData[CO2-e factor]))</f>
        <v>9.2096274188159999E-4</v>
      </c>
      <c r="J12" s="9" t="s">
        <v>7</v>
      </c>
    </row>
    <row r="13" spans="1:11" ht="20.100000000000001" customHeight="1" x14ac:dyDescent="0.2">
      <c r="A13" s="5" t="str">
        <f>HYPERLINK("#'Input - Poultry purchases'!A1", "Poultry purchases")</f>
        <v>Poultry purchases</v>
      </c>
      <c r="D13" s="1" t="s">
        <v>289</v>
      </c>
      <c r="E13" s="1">
        <f>_xlfn.SINGLE(VEERG_4_6_1_10__1_DirectNitrousOxideEmissionsFromPoultryManure_Result_Method1)</f>
        <v>2.3434148571428574E-4</v>
      </c>
      <c r="F13" s="1">
        <f>_xlfn.SINGLE(VEERG_4_6_1_10__1_DirectNitrousOxideEmissionsFromPoultryManure_Result_Method2)</f>
        <v>2.3434148571428574E-4</v>
      </c>
      <c r="G13" s="9" t="s">
        <v>12</v>
      </c>
      <c r="H13" s="1" cm="1">
        <f t="array" ref="H13">Common_Equations.Common_ConvertN2OToCO2e(E13,_xlfn.XLOOKUP("N2O", Table_GWPData[Gas],Table_GWPData[CO2-e factor]))</f>
        <v>6.2100493714285721E-2</v>
      </c>
      <c r="I13" s="1" cm="1">
        <f t="array" ref="I13">Common_Equations.Common_ConvertN2OToCO2e(F13,_xlfn.XLOOKUP("N2O", Table_GWPData[Gas],Table_GWPData[CO2-e factor]))</f>
        <v>6.2100493714285721E-2</v>
      </c>
      <c r="J13" s="9" t="s">
        <v>7</v>
      </c>
    </row>
    <row r="14" spans="1:11" ht="20.100000000000001" customHeight="1" x14ac:dyDescent="0.2">
      <c r="A14" s="5" t="str">
        <f>HYPERLINK("#'Input - Fuel'!A1", "Fuel")</f>
        <v>Fuel</v>
      </c>
      <c r="D14" s="1" t="s">
        <v>290</v>
      </c>
      <c r="E14" s="1">
        <f>_xlfn.SINGLE(VEERG_4_6_1_12__1_AtmosphericDepositionEmissionsFromPoultryManureOnPasture_Result_Method1)</f>
        <v>1.72240992E-5</v>
      </c>
      <c r="F14" s="1">
        <f>_xlfn.SINGLE(VEERG_4_6_1_12__1_AtmosphericDepositionEmissionsFromPoultryManureOnPasture_Result_Method2)</f>
        <v>1.72240992E-5</v>
      </c>
      <c r="G14" s="9" t="s">
        <v>12</v>
      </c>
      <c r="H14" s="1" cm="1">
        <f t="array" ref="H14">Common_Equations.Common_ConvertN2OToCO2e(E14,_xlfn.XLOOKUP("N2O", Table_GWPData[Gas],Table_GWPData[CO2-e factor]))</f>
        <v>4.5643862879999999E-3</v>
      </c>
      <c r="I14" s="1" cm="1">
        <f t="array" ref="I14">Common_Equations.Common_ConvertN2OToCO2e(F14,_xlfn.XLOOKUP("N2O", Table_GWPData[Gas],Table_GWPData[CO2-e factor]))</f>
        <v>4.5643862879999999E-3</v>
      </c>
      <c r="J14" s="9" t="s">
        <v>7</v>
      </c>
    </row>
    <row r="15" spans="1:11" ht="20.100000000000001" customHeight="1" x14ac:dyDescent="0.2">
      <c r="A15" s="5" t="str">
        <f>HYPERLINK("#'Input - Electricity'!A1", "Electricity")</f>
        <v>Electricity</v>
      </c>
      <c r="D15" s="1" t="s">
        <v>291</v>
      </c>
      <c r="E15" s="1">
        <f>_xlfn.SINGLE(VEERG_4_6_1_14__1_LeachingAndRunoffEmissionsFromPoultryManureOnPasture_Result_Method1)</f>
        <v>2.5777563428571431E-6</v>
      </c>
      <c r="F15" s="1">
        <f>_xlfn.SINGLE(VEERG_4_6_1_14__1_LeachingAndRunoffEmissionsFromPoultryManureOnPasture_Result_Method2)</f>
        <v>2.5777563428571431E-6</v>
      </c>
      <c r="G15" s="9" t="s">
        <v>12</v>
      </c>
      <c r="H15" s="1" cm="1">
        <f t="array" ref="H15">Common_Equations.Common_ConvertN2OToCO2e(E15,_xlfn.XLOOKUP("N2O", Table_GWPData[Gas],Table_GWPData[CO2-e factor]))</f>
        <v>6.8310543085714286E-4</v>
      </c>
      <c r="I15" s="1" cm="1">
        <f t="array" ref="I15">Common_Equations.Common_ConvertN2OToCO2e(F15,_xlfn.XLOOKUP("N2O", Table_GWPData[Gas],Table_GWPData[CO2-e factor]))</f>
        <v>6.8310543085714286E-4</v>
      </c>
      <c r="J15" s="9" t="s">
        <v>7</v>
      </c>
    </row>
    <row r="16" spans="1:11" ht="20.100000000000001" customHeight="1" x14ac:dyDescent="0.2">
      <c r="A16" s="5" t="str">
        <f>HYPERLINK("#'Input - Common farm inputs'!A1", "Common farm inputs")</f>
        <v>Common farm inputs</v>
      </c>
      <c r="D16" s="1" t="s">
        <v>133</v>
      </c>
      <c r="E16" s="1" cm="1">
        <f t="array" ref="E16">VEERG_8_1_1_1__1_FuelCombustionTransport_Result_CO2</f>
        <v>83.182000000000002</v>
      </c>
      <c r="F16" s="1">
        <f>E16</f>
        <v>83.182000000000002</v>
      </c>
      <c r="G16" s="9" t="s">
        <v>127</v>
      </c>
      <c r="H16" s="1">
        <f>E17</f>
        <v>0.19906000000000001</v>
      </c>
      <c r="I16" s="1">
        <f>F17</f>
        <v>0.19906000000000001</v>
      </c>
      <c r="J16" s="9" t="s">
        <v>7</v>
      </c>
    </row>
    <row r="17" spans="1:10" ht="20.100000000000001" customHeight="1" x14ac:dyDescent="0.2">
      <c r="A17" s="5" t="str">
        <f>HYPERLINK("#'Input - Livestock farm Inputs'!A1", "Livestock farm Inputs")</f>
        <v>Livestock farm Inputs</v>
      </c>
      <c r="D17" s="1" t="s">
        <v>135</v>
      </c>
      <c r="E17" s="1" cm="1">
        <f t="array" ref="E17">VEERG_8_1_1_1__1_FuelCombustionTransport_Result_CH4</f>
        <v>0.19906000000000001</v>
      </c>
      <c r="F17" s="1">
        <f t="shared" ref="F17:F21" si="0">E17</f>
        <v>0.19906000000000001</v>
      </c>
      <c r="G17" s="9" t="s">
        <v>6</v>
      </c>
      <c r="H17" s="1" cm="1">
        <f t="array" ref="H17">Common_Equations.Common_ConvertCH4ToCO2e(E18,_xlfn.XLOOKUP("CH4", Table_GWPData[Gas],Table_GWPData[CO2-e factor]))</f>
        <v>16.366</v>
      </c>
      <c r="I17" s="1" cm="1">
        <f t="array" ref="I17">Common_Equations.Common_ConvertCH4ToCO2e(F18,_xlfn.XLOOKUP("CH4", Table_GWPData[Gas],Table_GWPData[CO2-e factor]))</f>
        <v>16.366</v>
      </c>
      <c r="J17" s="9" t="s">
        <v>7</v>
      </c>
    </row>
    <row r="18" spans="1:10" ht="20.100000000000001" customHeight="1" x14ac:dyDescent="0.2">
      <c r="A18" s="5" t="str">
        <f>HYPERLINK("#'Input - Freight'!A1", "Freight")</f>
        <v>Freight</v>
      </c>
      <c r="D18" s="1" t="s">
        <v>134</v>
      </c>
      <c r="E18" s="1" cm="1">
        <f t="array" ref="E18">VEERG_8_1_1_1__1_FuelCombustionTransport_Result_N2O</f>
        <v>0.58450000000000002</v>
      </c>
      <c r="F18" s="1">
        <f t="shared" si="0"/>
        <v>0.58450000000000002</v>
      </c>
      <c r="G18" s="9" t="s">
        <v>12</v>
      </c>
      <c r="H18" s="1" cm="1">
        <f t="array" ref="H18">Common_Equations.Common_ConvertN2OToCO2e(E19,_xlfn.XLOOKUP("N2O", Table_GWPData[Gas],Table_GWPData[CO2-e factor]))</f>
        <v>7703.7620000000006</v>
      </c>
      <c r="I18" s="1" cm="1">
        <f t="array" ref="I18">Common_Equations.Common_ConvertN2OToCO2e(F19,_xlfn.XLOOKUP("N2O", Table_GWPData[Gas],Table_GWPData[CO2-e factor]))</f>
        <v>7703.7620000000006</v>
      </c>
      <c r="J18" s="9" t="s">
        <v>7</v>
      </c>
    </row>
    <row r="19" spans="1:10" ht="20.100000000000001" customHeight="1" x14ac:dyDescent="0.2">
      <c r="A19" s="5" t="str">
        <f>HYPERLINK("#'Input - Solid waste'!A1", "Solid waste")</f>
        <v>Solid waste</v>
      </c>
      <c r="D19" s="1" t="s">
        <v>136</v>
      </c>
      <c r="E19" s="1" cm="1">
        <f t="array" ref="E19">VEERG_8_2_1_1__1_FuelCombustionStationary_Result_CO2</f>
        <v>29.070800000000002</v>
      </c>
      <c r="F19" s="1">
        <f t="shared" si="0"/>
        <v>29.070800000000002</v>
      </c>
      <c r="G19" s="9" t="s">
        <v>127</v>
      </c>
      <c r="H19" s="1">
        <f>E20</f>
        <v>7.2400000000000006E-2</v>
      </c>
      <c r="I19" s="1">
        <f>F20</f>
        <v>7.2400000000000006E-2</v>
      </c>
      <c r="J19" s="9" t="s">
        <v>7</v>
      </c>
    </row>
    <row r="20" spans="1:10" ht="20.100000000000001" customHeight="1" x14ac:dyDescent="0.2">
      <c r="A20" s="5" t="str">
        <f>HYPERLINK("#'Input - Manure sent off-site'!A1", "Manure sent off-site")</f>
        <v>Manure sent off-site</v>
      </c>
      <c r="D20" s="1" t="s">
        <v>137</v>
      </c>
      <c r="E20" s="1" cm="1">
        <f t="array" ref="E20">VEERG_8_2_1_1__1_FuelCombustionStationary_Result_CH4</f>
        <v>7.2400000000000006E-2</v>
      </c>
      <c r="F20" s="1">
        <f t="shared" si="0"/>
        <v>7.2400000000000006E-2</v>
      </c>
      <c r="G20" s="9" t="s">
        <v>6</v>
      </c>
      <c r="H20" s="1" cm="1">
        <f t="array" ref="H20">Common_Equations.Common_ConvertCH4ToCO2e(E21,_xlfn.XLOOKUP("CH4", Table_GWPData[Gas],Table_GWPData[CO2-e factor]))</f>
        <v>1.9992000000000001</v>
      </c>
      <c r="I20" s="1" cm="1">
        <f t="array" ref="I20">Common_Equations.Common_ConvertCH4ToCO2e(F21,_xlfn.XLOOKUP("CH4", Table_GWPData[Gas],Table_GWPData[CO2-e factor]))</f>
        <v>1.9992000000000001</v>
      </c>
      <c r="J20" s="9" t="s">
        <v>7</v>
      </c>
    </row>
    <row r="21" spans="1:10" ht="20.100000000000001" customHeight="1" x14ac:dyDescent="0.2">
      <c r="A21" s="5" t="str">
        <f>HYPERLINK("#'Input - Data quality'!A1", "Data quality")</f>
        <v>Data quality</v>
      </c>
      <c r="D21" s="1" t="s">
        <v>138</v>
      </c>
      <c r="E21" s="1" cm="1">
        <f t="array" ref="E21">VEERG_8_2_1_1__1_FuelCombustionStationary_Result_N2O</f>
        <v>7.1400000000000005E-2</v>
      </c>
      <c r="F21" s="1">
        <f t="shared" si="0"/>
        <v>7.1400000000000005E-2</v>
      </c>
      <c r="G21" s="9" t="s">
        <v>12</v>
      </c>
      <c r="H21" s="1" cm="1">
        <f t="array" ref="H21">Common_Equations.Common_ConvertN2OToCO2e(E22,_xlfn.XLOOKUP("N2O", Table_GWPData[Gas],Table_GWPData[CO2-e factor]))</f>
        <v>116289.43325</v>
      </c>
      <c r="I21" s="1" cm="1">
        <f t="array" ref="I21">Common_Equations.Common_ConvertN2OToCO2e(F22,_xlfn.XLOOKUP("N2O", Table_GWPData[Gas],Table_GWPData[CO2-e factor]))</f>
        <v>116289.43325</v>
      </c>
      <c r="J21" s="9" t="s">
        <v>7</v>
      </c>
    </row>
    <row r="22" spans="1:10" ht="20.100000000000001" customHeight="1" x14ac:dyDescent="0.2">
      <c r="A22" s="5" t="str">
        <f>HYPERLINK("#'Input - Fert Prod System'!A1", "Fert Prod System")</f>
        <v>Fert Prod System</v>
      </c>
      <c r="D22" s="1" t="s">
        <v>266</v>
      </c>
      <c r="E22" s="1" cm="1">
        <f t="array" ref="E22">VEERG_10_1_1_1__1_EmissionsFromWasteManagement_Scope1_Result_Method1</f>
        <v>438.82805000000002</v>
      </c>
      <c r="F22" s="1">
        <f>E22</f>
        <v>438.82805000000002</v>
      </c>
      <c r="G22" s="9" t="s">
        <v>251</v>
      </c>
      <c r="H22" s="1">
        <f>E22</f>
        <v>438.82805000000002</v>
      </c>
      <c r="I22" s="1">
        <f>F22</f>
        <v>438.82805000000002</v>
      </c>
      <c r="J22" s="9" t="s">
        <v>7</v>
      </c>
    </row>
    <row r="23" spans="1:10" ht="20.100000000000001" customHeight="1" x14ac:dyDescent="0.2">
      <c r="A23" s="5" t="str">
        <f>HYPERLINK("#'Input - Fertiliser'!A1", "Fertiliser")</f>
        <v>Fertiliser</v>
      </c>
      <c r="D23" s="85" t="s">
        <v>4</v>
      </c>
      <c r="E23" s="86"/>
      <c r="F23" s="86"/>
      <c r="G23" s="86"/>
      <c r="H23" s="85">
        <f>SUM(H9:H22)</f>
        <v>124451.50167405077</v>
      </c>
      <c r="I23" s="85">
        <f>SUM(I9:I22)</f>
        <v>124451.48057724065</v>
      </c>
      <c r="J23" s="95" t="s">
        <v>7</v>
      </c>
    </row>
    <row r="26" spans="1:10" ht="20.100000000000001" customHeight="1" x14ac:dyDescent="0.2">
      <c r="A26" s="6" t="s">
        <v>2</v>
      </c>
      <c r="D26" s="77" t="s">
        <v>236</v>
      </c>
    </row>
    <row r="27" spans="1:10" ht="20.100000000000001" customHeight="1" x14ac:dyDescent="0.2">
      <c r="A27" s="5" t="str">
        <f>HYPERLINK("#'4.6.1.1-2 Methane'!A1", "4.6.1.1-2 Manure Methane")</f>
        <v>4.6.1.1-2 Manure Methane</v>
      </c>
    </row>
    <row r="28" spans="1:10" ht="20.100000000000001" customHeight="1" x14ac:dyDescent="0.2">
      <c r="A28" s="5" t="str">
        <f>HYPERLINK("#'4.6.1.3-4 Direct N20'!A1", "4.6.1.3-4 Manure Direct N2O")</f>
        <v>4.6.1.3-4 Manure Direct N2O</v>
      </c>
      <c r="D28" s="11" t="s">
        <v>237</v>
      </c>
      <c r="E28" s="11" t="s">
        <v>8</v>
      </c>
      <c r="F28" s="11" t="s">
        <v>9</v>
      </c>
      <c r="G28" s="11" t="s">
        <v>5</v>
      </c>
      <c r="H28" s="11" t="s">
        <v>10</v>
      </c>
      <c r="I28" s="11" t="s">
        <v>11</v>
      </c>
      <c r="J28" s="11"/>
    </row>
    <row r="29" spans="1:10" ht="20.100000000000001" customHeight="1" x14ac:dyDescent="0.2">
      <c r="A29" s="5" t="str">
        <f>HYPERLINK("#'4.6.1.5-6 Atmos Dep'!A1", "4.6.1.5-6 Manure Atmos Dep")</f>
        <v>4.6.1.5-6 Manure Atmos Dep</v>
      </c>
      <c r="D29" s="1" t="str" cm="1">
        <f t="array" ref="D29">"14.1.1-2 Purchased electricity " &amp; IF(X_Cell_Electricity_CalculationMethod="Location-based (simpler)", "(Location-based)", "(Market-based)")</f>
        <v>14.1.1-2 Purchased electricity (Location-based)</v>
      </c>
      <c r="E29" s="1" cm="1">
        <f t="array" ref="E29">IF(X_Cell_Electricity_CalculationMethod="Location-based (simpler)", VEERG_14_1_1__1_LocationBasedScopeElectricityEmissions_Result_Method1, VEERG_14_1_2__1_MarketBasedScopeElectricityEmissionsVariation_Result_Method1)</f>
        <v>16.8</v>
      </c>
      <c r="F29" s="1">
        <f>E29</f>
        <v>16.8</v>
      </c>
      <c r="G29" s="9" t="s">
        <v>7</v>
      </c>
      <c r="H29" s="1">
        <f>E29</f>
        <v>16.8</v>
      </c>
      <c r="I29" s="1">
        <f>F29</f>
        <v>16.8</v>
      </c>
      <c r="J29" s="9" t="s">
        <v>7</v>
      </c>
    </row>
    <row r="30" spans="1:10" ht="20.100000000000001" customHeight="1" x14ac:dyDescent="0.2">
      <c r="A30" s="5" t="str">
        <f>HYPERLINK("#'4.6.1.7-8 Leaching and runoff'!A1", "4.6.1.7-8 Manure Leaching and runoff")</f>
        <v>4.6.1.7-8 Manure Leaching and runoff</v>
      </c>
      <c r="D30" s="85" t="s">
        <v>238</v>
      </c>
      <c r="E30" s="86"/>
      <c r="F30" s="86"/>
      <c r="G30" s="86"/>
      <c r="H30" s="85">
        <f>SUM(H29:H29)</f>
        <v>16.8</v>
      </c>
      <c r="I30" s="85">
        <f>SUM(I29:I29)</f>
        <v>16.8</v>
      </c>
      <c r="J30" s="95" t="s">
        <v>7</v>
      </c>
    </row>
    <row r="31" spans="1:10" ht="20.100000000000001" customHeight="1" x14ac:dyDescent="0.2">
      <c r="A31" s="5" t="str">
        <f>HYPERLINK("#'4.6.1.9 Manure applied to soils'!A1", "4.6.1.9 Manure applied to soils")</f>
        <v>4.6.1.9 Manure applied to soils</v>
      </c>
    </row>
    <row r="32" spans="1:10" ht="20.100000000000001" customHeight="1" x14ac:dyDescent="0.2">
      <c r="A32" s="5" t="str">
        <f>HYPERLINK("#'4.6.1.10-11 Soil direct N2O'!A1", "4.6.1.10-11 Soil direct N2O")</f>
        <v>4.6.1.10-11 Soil direct N2O</v>
      </c>
    </row>
    <row r="33" spans="1:10" ht="20.100000000000001" customHeight="1" x14ac:dyDescent="0.2">
      <c r="A33" s="5" t="str">
        <f>HYPERLINK("#'4.6.1.12-13 Soil atmos dep'!A1", "4.6.1.12-13 Soil atmos dep")</f>
        <v>4.6.1.12-13 Soil atmos dep</v>
      </c>
      <c r="D33" s="77" t="s">
        <v>239</v>
      </c>
    </row>
    <row r="34" spans="1:10" ht="20.100000000000001" customHeight="1" x14ac:dyDescent="0.2">
      <c r="A34" s="5" t="str">
        <f>HYPERLINK("#'4.6.1.14-15 Soil leach runoff'!A1", "4.6.1.14-15 Soil leach runoff")</f>
        <v>4.6.1.14-15 Soil leach runoff</v>
      </c>
    </row>
    <row r="35" spans="1:10" ht="20.100000000000001" customHeight="1" x14ac:dyDescent="0.2">
      <c r="A35" s="5" t="str">
        <f>HYPERLINK("#'8.1.1.1-2 Transport fuel'!A1", "8.1.1.1-2 Transport fuel")</f>
        <v>8.1.1.1-2 Transport fuel</v>
      </c>
      <c r="D35" s="11" t="s">
        <v>240</v>
      </c>
      <c r="E35" s="11" t="s">
        <v>8</v>
      </c>
      <c r="F35" s="11" t="s">
        <v>9</v>
      </c>
      <c r="G35" s="11" t="s">
        <v>5</v>
      </c>
      <c r="H35" s="11" t="s">
        <v>10</v>
      </c>
      <c r="I35" s="11" t="s">
        <v>11</v>
      </c>
      <c r="J35" s="11"/>
    </row>
    <row r="36" spans="1:10" ht="20.100000000000001" customHeight="1" x14ac:dyDescent="0.2">
      <c r="A36" s="5" t="str">
        <f>HYPERLINK("#'8.2.1.1-2 Stationary fuel'!A1", "8.2.1.1-2 Stationary fuel")</f>
        <v>8.2.1.1-2 Stationary fuel</v>
      </c>
      <c r="D36" s="1" t="s">
        <v>267</v>
      </c>
      <c r="E36" s="1" cm="1">
        <f t="array" ref="E36">VEERG_15_1_1_1__1_EmissionsFromPurchasedLivestock_Pigs_Result_Method1</f>
        <v>0</v>
      </c>
      <c r="F36" s="1" cm="1">
        <f t="array" ref="F36">VEERG_15_1_1_1__1_EmissionsFromPurchasedLivestock_Pigs_Result_Method2</f>
        <v>0</v>
      </c>
      <c r="G36" s="9" t="s">
        <v>7</v>
      </c>
      <c r="H36" s="1">
        <f t="shared" ref="H36:I37" si="1">E36</f>
        <v>0</v>
      </c>
      <c r="I36" s="1">
        <f t="shared" si="1"/>
        <v>0</v>
      </c>
      <c r="J36" s="9" t="s">
        <v>7</v>
      </c>
    </row>
    <row r="37" spans="1:10" ht="20.100000000000001" customHeight="1" x14ac:dyDescent="0.2">
      <c r="A37" s="5" t="str">
        <f>HYPERLINK("#'10.1.1-2 Solid waste treatment'!A1", "10.1.1.1-2 Solid waste")</f>
        <v>10.1.1.1-2 Solid waste</v>
      </c>
      <c r="D37" s="1" t="s">
        <v>268</v>
      </c>
      <c r="E37" s="1" cm="1">
        <f t="array" ref="E37">VEERG_15_2_1_1__1_EmissionsFromPurchasedFeed_Result_Method1</f>
        <v>0.78505200000000008</v>
      </c>
      <c r="F37" s="1" cm="1">
        <f t="array" ref="F37">VEERG_15_2_1_1__1_EmissionsFromPurchasedFeed_Result_Method1</f>
        <v>0.78505200000000008</v>
      </c>
      <c r="G37" s="9" t="s">
        <v>7</v>
      </c>
      <c r="H37" s="1">
        <f t="shared" si="1"/>
        <v>0.78505200000000008</v>
      </c>
      <c r="I37" s="1">
        <f t="shared" si="1"/>
        <v>0.78505200000000008</v>
      </c>
      <c r="J37" s="9" t="s">
        <v>7</v>
      </c>
    </row>
    <row r="38" spans="1:10" ht="20.100000000000001" customHeight="1" x14ac:dyDescent="0.2">
      <c r="A38" s="5" t="str">
        <f>HYPERLINK("#'14.1.1-2 Purchased electricity'!A1", "14.1.1-2 Purchased electricity")</f>
        <v>14.1.1-2 Purchased electricity</v>
      </c>
      <c r="D38" s="1" t="s">
        <v>241</v>
      </c>
      <c r="E38" s="1" t="str" cm="1">
        <f t="array" ref="E38">VEERG_15_7_1_1__1_EmissionsFromPurchasedServices_Result_Method1</f>
        <v>No data</v>
      </c>
      <c r="F38" s="1" cm="1">
        <f t="array" ref="F38">VEERG_15_7_1_1__1_EmissionsFromPurchasedServices_Result_Method2</f>
        <v>1.1000000000000001</v>
      </c>
      <c r="G38" s="9" t="s">
        <v>7</v>
      </c>
      <c r="H38" s="1" t="str">
        <f t="shared" ref="H38:H46" si="2">E38</f>
        <v>No data</v>
      </c>
      <c r="I38" s="1">
        <f t="shared" ref="I38:I46" si="3">F38</f>
        <v>1.1000000000000001</v>
      </c>
      <c r="J38" s="9" t="s">
        <v>7</v>
      </c>
    </row>
    <row r="39" spans="1:10" ht="20.100000000000001" customHeight="1" x14ac:dyDescent="0.2">
      <c r="A39" s="5" t="str">
        <f>HYPERLINK("#'15 Scope 3'!A1", "15 Scope 3")</f>
        <v>15 Scope 3</v>
      </c>
      <c r="D39" s="1" t="s">
        <v>242</v>
      </c>
      <c r="E39" s="1" cm="1">
        <f t="array" ref="E39">VEERG_15_10_1_1__1_OtherPurchasedGoodsAndServices_CleaningChemicals_Result_Method1</f>
        <v>0.50509999999999999</v>
      </c>
      <c r="F39" s="1" cm="1">
        <f t="array" ref="F39">VEERG_15_10_1_1__1_OtherPurchasedGoodsAndServices_CleaningChemicals_Result_Method2</f>
        <v>0.5</v>
      </c>
      <c r="G39" s="9" t="s">
        <v>7</v>
      </c>
      <c r="H39" s="1">
        <f t="shared" si="2"/>
        <v>0.50509999999999999</v>
      </c>
      <c r="I39" s="1">
        <f t="shared" si="3"/>
        <v>0.5</v>
      </c>
      <c r="J39" s="9" t="s">
        <v>7</v>
      </c>
    </row>
    <row r="40" spans="1:10" ht="20.100000000000001" customHeight="1" x14ac:dyDescent="0.2">
      <c r="A40" s="5" t="str">
        <f>HYPERLINK("#'Calcs - Manure sent off-site'!A1", "Calcs - Manure sent off-site")</f>
        <v>Calcs - Manure sent off-site</v>
      </c>
      <c r="D40" s="1" t="s">
        <v>269</v>
      </c>
      <c r="E40" s="1" cm="1">
        <f t="array" ref="E40">VEERG_15_10_1_1__1_OtherPurchasedGoodsAndServices_PharmacyChemicals_Result_Method1</f>
        <v>1.5636000000000001E-2</v>
      </c>
      <c r="F40" s="1" cm="1">
        <f t="array" ref="F40">VEERG_15_10_1_1__1_OtherPurchasedGoodsAndServices_PharmacyChemicals_Result_Method1</f>
        <v>1.5636000000000001E-2</v>
      </c>
      <c r="G40" s="9" t="s">
        <v>7</v>
      </c>
      <c r="H40" s="1">
        <f t="shared" si="2"/>
        <v>1.5636000000000001E-2</v>
      </c>
      <c r="I40" s="1">
        <f t="shared" si="3"/>
        <v>1.5636000000000001E-2</v>
      </c>
      <c r="J40" s="9" t="s">
        <v>7</v>
      </c>
    </row>
    <row r="41" spans="1:10" ht="20.100000000000001" customHeight="1" x14ac:dyDescent="0.2">
      <c r="A41" s="5" t="str">
        <f>HYPERLINK("#'5.1.1.1-2 Inorganic fert N2O'!A1", "5.1.1.1-2 Inorganic fert N2O")</f>
        <v>5.1.1.1-2 Inorganic fert N2O</v>
      </c>
      <c r="D41" s="1" t="s">
        <v>243</v>
      </c>
      <c r="E41" s="1" t="str" cm="1">
        <f t="array" ref="E41">VEERG_15_10_1_1__1_OtherPurchasedGoodsAndServices_Uncategorised_Result_Method1</f>
        <v>No data</v>
      </c>
      <c r="F41" s="1" cm="1">
        <f t="array" ref="F41">VEERG_15_10_1_1__1_OtherPurchasedGoodsAndServices_Uncategorised_Result_Method2</f>
        <v>4000</v>
      </c>
      <c r="G41" s="9" t="s">
        <v>7</v>
      </c>
      <c r="H41" s="1" t="str">
        <f t="shared" si="2"/>
        <v>No data</v>
      </c>
      <c r="I41" s="1">
        <f t="shared" si="3"/>
        <v>4000</v>
      </c>
      <c r="J41" s="9" t="s">
        <v>7</v>
      </c>
    </row>
    <row r="42" spans="1:10" ht="20.100000000000001" customHeight="1" x14ac:dyDescent="0.2">
      <c r="A42" s="5" t="str">
        <f>HYPERLINK("#'5.1.1.3-4 Inorganic fert CO2'!A1", "5.1.1.3-4 Inorganic fert CO2")</f>
        <v>5.1.1.3-4 Inorganic fert CO2</v>
      </c>
      <c r="D42" s="1" t="s">
        <v>244</v>
      </c>
      <c r="E42" s="1" cm="1">
        <f t="array" ref="E42">VEERG_15_11_1_1__1_TotalUpstreamEmissionsFromFuel_Result</f>
        <v>26.794</v>
      </c>
      <c r="F42" s="1">
        <f>E42</f>
        <v>26.794</v>
      </c>
      <c r="G42" s="9" t="s">
        <v>7</v>
      </c>
      <c r="H42" s="1">
        <f t="shared" si="2"/>
        <v>26.794</v>
      </c>
      <c r="I42" s="1">
        <f t="shared" si="3"/>
        <v>26.794</v>
      </c>
      <c r="J42" s="9" t="s">
        <v>7</v>
      </c>
    </row>
    <row r="43" spans="1:10" ht="20.100000000000001" customHeight="1" x14ac:dyDescent="0.2">
      <c r="A43" s="5" t="str">
        <f>HYPERLINK("#'5.2.1.1-2 Organic Fert N2O'!A1", "5.2.1.1-2 Organic Fert N2O")</f>
        <v>5.2.1.1-2 Organic Fert N2O</v>
      </c>
      <c r="D43" s="1" t="str" cm="1">
        <f t="array" ref="D43">"15.12.1.1 Purchased electricity " &amp; IF(X_Cell_Electricity_CalculationMethod="Location-based (simpler)", "(Location-based)", "(Market-based)")</f>
        <v>15.12.1.1 Purchased electricity (Location-based)</v>
      </c>
      <c r="E43" s="1" cm="1">
        <f t="array" ref="E43">IF(X_Cell_Electricity_CalculationMethod="Location-based (simpler)", VEERG_15_12_1_1__1_UpstreamPurchasedElectricityLocationBased_Result, VEERG_15_12_1_1__1_UpstreamPurchasedElectricityMarketBased_Result)</f>
        <v>2.7</v>
      </c>
      <c r="F43" s="1">
        <f>E43</f>
        <v>2.7</v>
      </c>
      <c r="G43" s="9" t="s">
        <v>7</v>
      </c>
      <c r="H43" s="1">
        <f t="shared" si="2"/>
        <v>2.7</v>
      </c>
      <c r="I43" s="1">
        <f t="shared" si="3"/>
        <v>2.7</v>
      </c>
      <c r="J43" s="9" t="s">
        <v>7</v>
      </c>
    </row>
    <row r="44" spans="1:10" ht="20.100000000000001" customHeight="1" x14ac:dyDescent="0.2">
      <c r="A44" s="5" t="str">
        <f>HYPERLINK("#'5.3.1.1-2 Lime CO2'!A1", "5.3.1.1-2 Lime CO2")</f>
        <v>5.3.1.1-2 Lime CO2</v>
      </c>
      <c r="D44" s="1" t="s">
        <v>246</v>
      </c>
      <c r="E44" s="1" cm="1">
        <f t="array" ref="E44">VEERG_10_1_1_1__1_EmissionsFromWasteManagement_Scope3_Result_Method1</f>
        <v>441.15000000000003</v>
      </c>
      <c r="F44" s="1">
        <f>E44</f>
        <v>441.15000000000003</v>
      </c>
      <c r="G44" s="9" t="s">
        <v>7</v>
      </c>
      <c r="H44" s="1">
        <f t="shared" si="2"/>
        <v>441.15000000000003</v>
      </c>
      <c r="I44" s="1">
        <f t="shared" si="3"/>
        <v>441.15000000000003</v>
      </c>
      <c r="J44" s="9" t="s">
        <v>7</v>
      </c>
    </row>
    <row r="45" spans="1:10" ht="20.100000000000001" customHeight="1" x14ac:dyDescent="0.2">
      <c r="A45" s="5" t="str">
        <f>HYPERLINK("#'5.4.1.1-4 Atmos deposition'!A1", "5.4.1.1-4 Atmos deposition")</f>
        <v>5.4.1.1-4 Atmos deposition</v>
      </c>
      <c r="D45" s="1" t="s">
        <v>245</v>
      </c>
      <c r="E45" s="1" t="str" cm="1">
        <f t="array" ref="E45">VEERG_15_14_1_1__1_EmbeddedEmissionsFromUpstreamFreight_Incoming_Result_Method1</f>
        <v>No data</v>
      </c>
      <c r="F45" s="1" cm="1">
        <f t="array" ref="F45">VEERG_15_14_1_1__1_EmbeddedEmissionsFromUpstreamFreight_Incoming_Result_Method2</f>
        <v>5166.2</v>
      </c>
      <c r="G45" s="9" t="s">
        <v>7</v>
      </c>
      <c r="H45" s="1" t="str">
        <f t="shared" si="2"/>
        <v>No data</v>
      </c>
      <c r="I45" s="1">
        <f t="shared" si="3"/>
        <v>5166.2</v>
      </c>
      <c r="J45" s="9" t="s">
        <v>7</v>
      </c>
    </row>
    <row r="46" spans="1:10" ht="20.100000000000001" customHeight="1" x14ac:dyDescent="0.2">
      <c r="A46" s="5" t="str">
        <f>HYPERLINK("#'5.5.1.1-2 Leaching and runoff'!A1", "5.5.1.1-2 Leaching and runoff")</f>
        <v>5.5.1.1-2 Leaching and runoff</v>
      </c>
      <c r="D46" s="1" t="s">
        <v>247</v>
      </c>
      <c r="E46" s="1" t="str" cm="1">
        <f t="array" ref="E46">VEERG_15_14_1_1__1_EmbeddedEmissionsFromUpstreamFreight_Outgoing_Result_Method1</f>
        <v>No data</v>
      </c>
      <c r="F46" s="1" cm="1">
        <f t="array" ref="F46">VEERG_15_14_1_1__1_EmbeddedEmissionsFromUpstreamFreight_Outgoing_Result_Method2</f>
        <v>676</v>
      </c>
      <c r="G46" s="9" t="s">
        <v>7</v>
      </c>
      <c r="H46" s="1" t="str">
        <f t="shared" si="2"/>
        <v>No data</v>
      </c>
      <c r="I46" s="1">
        <f t="shared" si="3"/>
        <v>676</v>
      </c>
      <c r="J46" s="9" t="s">
        <v>7</v>
      </c>
    </row>
    <row r="47" spans="1:10" ht="20.100000000000001" customHeight="1" x14ac:dyDescent="0.2">
      <c r="D47" s="85" t="s">
        <v>248</v>
      </c>
      <c r="E47" s="86"/>
      <c r="F47" s="86"/>
      <c r="G47" s="86"/>
      <c r="H47" s="85">
        <f>SUM(H36:H46)</f>
        <v>471.94978800000001</v>
      </c>
      <c r="I47" s="85">
        <f>SUM(I36:I46)</f>
        <v>10315.244687999999</v>
      </c>
      <c r="J47" s="95" t="s">
        <v>7</v>
      </c>
    </row>
    <row r="49" spans="1:7" ht="20.100000000000001" customHeight="1" x14ac:dyDescent="0.2">
      <c r="A49" s="80" t="s">
        <v>1</v>
      </c>
    </row>
    <row r="50" spans="1:7" ht="20.100000000000001" customHeight="1" x14ac:dyDescent="0.2">
      <c r="A50" s="5" t="str">
        <f>HYPERLINK("#'Constants - Poultry'!A1", "Constants - Poultry")</f>
        <v>Constants - Poultry</v>
      </c>
      <c r="D50" s="77" t="str">
        <f>"Carbon removals from plantings for the activity period " &amp; TEXT(X_Cell_Site_StartDate, "d mmmm yyyy") &amp; " and " &amp; TEXT(X_Cell_Site_EndDate, "d mmmm yyyy")</f>
        <v>Carbon removals from plantings for the activity period 1 January 2025 and 31 December 2025</v>
      </c>
    </row>
    <row r="51" spans="1:7" ht="20.100000000000001" customHeight="1" x14ac:dyDescent="0.2">
      <c r="A51" s="5" t="str">
        <f>HYPERLINK("#'Constants - Common livestock'!A1", "Constants - Common Livestock")</f>
        <v>Constants - Common Livestock</v>
      </c>
    </row>
    <row r="52" spans="1:7" ht="20.100000000000001" customHeight="1" x14ac:dyDescent="0.2">
      <c r="A52" s="5" t="str">
        <f>HYPERLINK("#'Constants - Electricity'!A1", "Constants - Electricity")</f>
        <v>Constants - Electricity</v>
      </c>
      <c r="D52" s="85" t="s">
        <v>249</v>
      </c>
      <c r="E52" s="86">
        <f>SUM(Table_Input_Enterprise_PlantingRemovals[Removal allocated to this enterprise])</f>
        <v>0</v>
      </c>
      <c r="F52" s="95" t="s">
        <v>127</v>
      </c>
    </row>
    <row r="53" spans="1:7" ht="20.100000000000001" customHeight="1" x14ac:dyDescent="0.2">
      <c r="A53" s="5" t="str">
        <f>HYPERLINK("#'Constants - Fertiliser'!A1", "Constants - Fertiliser")</f>
        <v>Constants - Fertiliser</v>
      </c>
    </row>
    <row r="54" spans="1:7" ht="20.100000000000001" customHeight="1" x14ac:dyDescent="0.2">
      <c r="A54" s="5" t="str">
        <f>HYPERLINK("#'Constants - Fuel'!A1", "Constants - Fuel")</f>
        <v>Constants - Fuel</v>
      </c>
    </row>
    <row r="55" spans="1:7" ht="20.100000000000001" customHeight="1" x14ac:dyDescent="0.2">
      <c r="A55" s="5" t="str">
        <f>HYPERLINK("#'Constants - Scope 3'!A1", "Constants - Scope 3")</f>
        <v>Constants - Scope 3</v>
      </c>
      <c r="D55" s="77" t="str">
        <f>"Net emissions for the activity period " &amp; TEXT(X_Cell_Site_StartDate, "d mmmm yyyy") &amp; " and " &amp; TEXT(X_Cell_Site_EndDate, "d mmmm yyyy")</f>
        <v>Net emissions for the activity period 1 January 2025 and 31 December 2025</v>
      </c>
    </row>
    <row r="56" spans="1:7" ht="20.100000000000001" customHeight="1" x14ac:dyDescent="0.2">
      <c r="A56" s="5" t="str">
        <f>HYPERLINK("#'Constants - Solid Waste'!A1", "Constants - Solid Waste")</f>
        <v>Constants - Solid Waste</v>
      </c>
    </row>
    <row r="57" spans="1:7" ht="20.100000000000001" customHeight="1" x14ac:dyDescent="0.2">
      <c r="A57" s="5" t="str">
        <f>HYPERLINK("#'Constants - Common'!A1", "Constants - Common")</f>
        <v>Constants - Common</v>
      </c>
      <c r="D57" s="11"/>
      <c r="E57" s="11" t="s">
        <v>130</v>
      </c>
      <c r="F57" s="11" t="s">
        <v>131</v>
      </c>
      <c r="G57" s="11"/>
    </row>
    <row r="58" spans="1:7" ht="20.100000000000001" customHeight="1" x14ac:dyDescent="0.2">
      <c r="D58" s="94" t="s">
        <v>250</v>
      </c>
      <c r="E58" s="92">
        <f>Result_Enterprise_Scope1_Method1+Result_Enterprise_Scope2_Method1+Result_Enterprise_Scope3_Method1</f>
        <v>124940.25146205077</v>
      </c>
      <c r="F58" s="92">
        <f>Result_Enterprise_Scope1_Method2+Result_Enterprise_Scope2_Method2+Result_Enterprise_Scope3_Method2</f>
        <v>134783.52526524066</v>
      </c>
      <c r="G58" s="93" t="s">
        <v>251</v>
      </c>
    </row>
    <row r="59" spans="1:7" ht="20.100000000000001" customHeight="1" x14ac:dyDescent="0.2">
      <c r="D59" s="94" t="s">
        <v>252</v>
      </c>
      <c r="E59" s="92">
        <f>Result_Enterprise_Gross_Method1-Result_Enterprise_Removals</f>
        <v>124940.25146205077</v>
      </c>
      <c r="F59" s="92">
        <f>Result_Enterprise_Gross_Method2-Result_Enterprise_Removals</f>
        <v>134783.52526524066</v>
      </c>
      <c r="G59" s="93" t="s">
        <v>251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AJ60"/>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36" width="9.140625" style="1"/>
  </cols>
  <sheetData>
    <row r="1" spans="1:36" s="90" customFormat="1" ht="30" customHeight="1" x14ac:dyDescent="0.35">
      <c r="A1" s="10" t="e" vm="1">
        <v>#VALUE!</v>
      </c>
      <c r="C1" s="90" t="s">
        <v>255</v>
      </c>
    </row>
    <row r="2" spans="1:36" s="3" customFormat="1" ht="20.100000000000001" customHeight="1" x14ac:dyDescent="0.2">
      <c r="A2"/>
    </row>
    <row r="3" spans="1:36" ht="20.100000000000001" customHeight="1" x14ac:dyDescent="0.2">
      <c r="A3" s="5" t="str">
        <f>HYPERLINK("#'Home'!A1", "Home")</f>
        <v>Home</v>
      </c>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row>
    <row r="4" spans="1:36" ht="20.100000000000001" customHeight="1" x14ac:dyDescent="0.2">
      <c r="A4" s="5" t="str">
        <f>HYPERLINK("#'Results - Activity period'!A1", "Results - Activity period")</f>
        <v>Results - Activity period</v>
      </c>
    </row>
    <row r="5" spans="1:36" ht="20.100000000000001" customHeight="1" x14ac:dyDescent="0.2">
      <c r="A5" s="255" t="str">
        <f>HYPERLINK("#'Results - Product EI'!A1", "Results - Product Emissions Intensity")</f>
        <v>Results - Product Emissions Intensity</v>
      </c>
    </row>
    <row r="8" spans="1:36" ht="20.100000000000001" customHeight="1" x14ac:dyDescent="0.2">
      <c r="A8" s="7" t="s">
        <v>0</v>
      </c>
    </row>
    <row r="9" spans="1:36" ht="20.100000000000001" customHeight="1" x14ac:dyDescent="0.2">
      <c r="A9" s="5" t="str">
        <f>HYPERLINK("#'Input - Enterprise'!A1", "Enterprise")</f>
        <v>Enterprise</v>
      </c>
    </row>
    <row r="10" spans="1:36" ht="20.100000000000001" customHeight="1" x14ac:dyDescent="0.2">
      <c r="A10" s="5" t="str">
        <f>HYPERLINK("#'Input - Site'!A1", "Site")</f>
        <v>Site</v>
      </c>
    </row>
    <row r="11" spans="1:36" ht="20.100000000000001" customHeight="1" x14ac:dyDescent="0.2">
      <c r="A11" s="5" t="str">
        <f>HYPERLINK("#'Input - Poultry'!A1", "Poultry")</f>
        <v>Poultry</v>
      </c>
    </row>
    <row r="12" spans="1:36" ht="20.100000000000001" customHeight="1" x14ac:dyDescent="0.2">
      <c r="A12" s="5" t="str">
        <f>HYPERLINK("#'Input - Livestock sales'!A1", "Livestock sales")</f>
        <v>Livestock sales</v>
      </c>
    </row>
    <row r="13" spans="1:36" ht="20.100000000000001" customHeight="1" x14ac:dyDescent="0.2">
      <c r="A13" s="5" t="str">
        <f>HYPERLINK("#'Input - Poultry purchases'!A1", "Poultry purchases")</f>
        <v>Poultry purchases</v>
      </c>
    </row>
    <row r="14" spans="1:36" ht="20.100000000000001" customHeight="1" x14ac:dyDescent="0.2">
      <c r="A14" s="5" t="str">
        <f>HYPERLINK("#'Input - Fuel'!A1", "Fuel")</f>
        <v>Fuel</v>
      </c>
    </row>
    <row r="15" spans="1:36" ht="20.100000000000001" customHeight="1" x14ac:dyDescent="0.2">
      <c r="A15" s="5" t="str">
        <f>HYPERLINK("#'Input - Electricity'!A1", "Electricity")</f>
        <v>Electricity</v>
      </c>
    </row>
    <row r="16" spans="1:36"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Manure sent off-site'!A1", "Manure sent off-site")</f>
        <v>Manure sent off-site</v>
      </c>
    </row>
    <row r="21" spans="1:4" ht="20.100000000000001" customHeight="1" x14ac:dyDescent="0.2">
      <c r="A21" s="5" t="str">
        <f>HYPERLINK("#'Input - Data quality'!A1", "Data quality")</f>
        <v>Data quality</v>
      </c>
    </row>
    <row r="22" spans="1:4" ht="20.100000000000001" customHeight="1" x14ac:dyDescent="0.2">
      <c r="A22" s="5" t="str">
        <f>HYPERLINK("#'Input - Fert Prod System'!A1", "Fert Prod System")</f>
        <v>Fert Prod System</v>
      </c>
    </row>
    <row r="23" spans="1:4" ht="20.100000000000001" customHeight="1" x14ac:dyDescent="0.2">
      <c r="A23" s="5" t="str">
        <f>HYPERLINK("#'Input - Fertiliser'!A1", "Fertiliser")</f>
        <v>Fertiliser</v>
      </c>
    </row>
    <row r="26" spans="1:4" ht="20.100000000000001" customHeight="1" x14ac:dyDescent="0.2">
      <c r="A26" s="6" t="s">
        <v>2</v>
      </c>
    </row>
    <row r="27" spans="1:4" ht="20.100000000000001" customHeight="1" x14ac:dyDescent="0.2">
      <c r="A27" s="5" t="str">
        <f>HYPERLINK("#'4.6.1.1-2 Methane'!A1", "4.6.1.1-2 Manure Methane")</f>
        <v>4.6.1.1-2 Manure Methane</v>
      </c>
    </row>
    <row r="28" spans="1:4" ht="20.100000000000001" customHeight="1" x14ac:dyDescent="0.2">
      <c r="A28" s="5" t="str">
        <f>HYPERLINK("#'4.6.1.3-4 Direct N20'!A1", "4.6.1.3-4 Manure Direct N2O")</f>
        <v>4.6.1.3-4 Manure Direct N2O</v>
      </c>
    </row>
    <row r="29" spans="1:4" ht="20.100000000000001" customHeight="1" x14ac:dyDescent="0.2">
      <c r="A29" s="5" t="str">
        <f>HYPERLINK("#'4.6.1.5-6 Atmos Dep'!A1", "4.6.1.5-6 Manure Atmos Dep")</f>
        <v>4.6.1.5-6 Manure Atmos Dep</v>
      </c>
    </row>
    <row r="30" spans="1:4" ht="20.100000000000001" customHeight="1" x14ac:dyDescent="0.2">
      <c r="A30" s="5" t="str">
        <f>HYPERLINK("#'4.6.1.7-8 Leaching and runoff'!A1", "4.6.1.7-8 Manure Leaching and runoff")</f>
        <v>4.6.1.7-8 Manure Leaching and runoff</v>
      </c>
    </row>
    <row r="31" spans="1:4" ht="20.100000000000001" customHeight="1" x14ac:dyDescent="0.2">
      <c r="A31" s="5" t="str">
        <f>HYPERLINK("#'4.6.1.9 Manure applied to soils'!A1", "4.6.1.9 Manure applied to soils")</f>
        <v>4.6.1.9 Manure applied to soils</v>
      </c>
    </row>
    <row r="32" spans="1:4" ht="20.100000000000001" customHeight="1" x14ac:dyDescent="0.2">
      <c r="A32" s="5" t="str">
        <f>HYPERLINK("#'4.6.1.10-11 Soil direct N2O'!A1", "4.6.1.10-11 Soil direct N2O")</f>
        <v>4.6.1.10-11 Soil direct N2O</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HYPERLINK("#'4.6.1.12-13 Soil atmos dep'!A1", "4.6.1.12-13 Soil atmos dep")</f>
        <v>4.6.1.12-13 Soil atmos dep</v>
      </c>
    </row>
    <row r="34" spans="1:10" ht="20.100000000000001" customHeight="1" x14ac:dyDescent="0.2">
      <c r="A34" s="5" t="str">
        <f>HYPERLINK("#'4.6.1.14-15 Soil leach runoff'!A1", "4.6.1.14-15 Soil leach runoff")</f>
        <v>4.6.1.14-15 Soil leach runoff</v>
      </c>
    </row>
    <row r="35" spans="1:10" ht="20.100000000000001" customHeight="1" x14ac:dyDescent="0.2">
      <c r="A35" s="5" t="str">
        <f>HYPERLINK("#'8.1.1.1-2 Transport fuel'!A1", "8.1.1.1-2 Transport fuel")</f>
        <v>8.1.1.1-2 Transport fuel</v>
      </c>
      <c r="D35" s="11"/>
      <c r="E35" s="11" t="s">
        <v>130</v>
      </c>
      <c r="F35" s="11" t="s">
        <v>131</v>
      </c>
      <c r="G35" s="11"/>
    </row>
    <row r="36" spans="1:10" ht="20.100000000000001" customHeight="1" x14ac:dyDescent="0.2">
      <c r="A36" s="5" t="str">
        <f>HYPERLINK("#'8.2.1.1-2 Stationary fuel'!A1", "8.2.1.1-2 Stationary fuel")</f>
        <v>8.2.1.1-2 Stationary fuel</v>
      </c>
      <c r="D36" s="75" t="s">
        <v>253</v>
      </c>
      <c r="E36" s="1">
        <f>Result_EmissionsForWholeProductionCycle_Gross_Method1</f>
        <v>124940.25146205077</v>
      </c>
      <c r="F36" s="1">
        <f>Result_EmissionsForWholeProductionCycle_Gross_Method2</f>
        <v>134783.52526524066</v>
      </c>
      <c r="G36" s="9" t="s">
        <v>7</v>
      </c>
    </row>
    <row r="37" spans="1:10" ht="20.100000000000001" customHeight="1" x14ac:dyDescent="0.2">
      <c r="A37" s="5" t="str">
        <f>HYPERLINK("#'10.1.1-2 Solid waste treatment'!A1", "10.1.1.1-2 Solid waste")</f>
        <v>10.1.1.1-2 Solid waste</v>
      </c>
      <c r="D37" s="75" t="s">
        <v>254</v>
      </c>
      <c r="E37" s="1">
        <f>Result_EmissionsForWholeProductionCycle_Net_Method1</f>
        <v>124940.25146205077</v>
      </c>
      <c r="F37" s="1">
        <f>Result_EmissionsForWholeProductionCycle_Net_Method2</f>
        <v>134783.52526524066</v>
      </c>
      <c r="G37" s="9" t="s">
        <v>7</v>
      </c>
    </row>
    <row r="38" spans="1:10" ht="20.100000000000001" customHeight="1" x14ac:dyDescent="0.2">
      <c r="A38" s="5" t="str">
        <f>HYPERLINK("#'14.1.1-2 Purchased electricity'!A1", "14.1.1-2 Purchased electricity")</f>
        <v>14.1.1-2 Purchased electricity</v>
      </c>
    </row>
    <row r="39" spans="1:10" ht="20.100000000000001" customHeight="1" x14ac:dyDescent="0.2">
      <c r="A39" s="5" t="str">
        <f>HYPERLINK("#'15 Scope 3'!A1", "15 Scope 3")</f>
        <v>15 Scope 3</v>
      </c>
    </row>
    <row r="40" spans="1:10" ht="20.100000000000001" customHeight="1" x14ac:dyDescent="0.2">
      <c r="A40" s="5" t="str">
        <f>HYPERLINK("#'Calcs - Manure sent off-site'!A1", "Calcs - Manure sent off-site")</f>
        <v>Calcs - Manure sent off-site</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1" spans="1:10" ht="20.100000000000001" customHeight="1" x14ac:dyDescent="0.2">
      <c r="A41" s="5" t="str">
        <f>HYPERLINK("#'5.1.1.1-2 Inorganic fert N2O'!A1", "5.1.1.1-2 Inorganic fert N2O")</f>
        <v>5.1.1.1-2 Inorganic fert N2O</v>
      </c>
    </row>
    <row r="42" spans="1:10" ht="20.100000000000001" customHeight="1" x14ac:dyDescent="0.2">
      <c r="A42" s="5" t="str">
        <f>HYPERLINK("#'5.1.1.3-4 Inorganic fert CO2'!A1", "5.1.1.3-4 Inorganic fert CO2")</f>
        <v>5.1.1.3-4 Inorganic fert CO2</v>
      </c>
      <c r="D42" s="77" t="s">
        <v>145</v>
      </c>
    </row>
    <row r="43" spans="1:10" ht="20.100000000000001" customHeight="1" x14ac:dyDescent="0.2">
      <c r="A43" s="5" t="str">
        <f>HYPERLINK("#'5.2.1.1-2 Organic Fert N2O'!A1", "5.2.1.1-2 Organic Fert N2O")</f>
        <v>5.2.1.1-2 Organic Fert N2O</v>
      </c>
      <c r="D43" s="11" t="s">
        <v>132</v>
      </c>
      <c r="E43" s="11" t="s">
        <v>121</v>
      </c>
      <c r="F43" s="11" t="s">
        <v>117</v>
      </c>
      <c r="G43" s="11" t="s">
        <v>142</v>
      </c>
      <c r="H43" s="11" t="s">
        <v>119</v>
      </c>
      <c r="I43" s="11" t="s">
        <v>120</v>
      </c>
      <c r="J43" s="11" t="s">
        <v>118</v>
      </c>
    </row>
    <row r="44" spans="1:10" ht="20.100000000000001" customHeight="1" x14ac:dyDescent="0.2">
      <c r="A44" s="5" t="str">
        <f>HYPERLINK("#'5.3.1.1-2 Lime CO2'!A1", "5.3.1.1-2 Lime CO2")</f>
        <v>5.3.1.1-2 Lime CO2</v>
      </c>
      <c r="D44" s="1" t="s">
        <v>273</v>
      </c>
      <c r="E44" s="1" t="s">
        <v>122</v>
      </c>
      <c r="F44" s="1">
        <f>X_Cell_Enterprise_BirdsSold</f>
        <v>500</v>
      </c>
      <c r="G44" s="1">
        <f>F44/(F44+F46+F48)</f>
        <v>0.97847358121330719</v>
      </c>
      <c r="H44" s="1">
        <f>($E$36/F44)*G44</f>
        <v>244.5014705715279</v>
      </c>
      <c r="I44" s="1">
        <f>($F$36/F44)*G44</f>
        <v>263.7642373096686</v>
      </c>
      <c r="J44" s="9" t="s">
        <v>292</v>
      </c>
    </row>
    <row r="45" spans="1:10" ht="20.100000000000001" customHeight="1" x14ac:dyDescent="0.2">
      <c r="A45" s="5" t="str">
        <f>HYPERLINK("#'5.4.1.1-4 Atmos deposition'!A1", "5.4.1.1-4 Atmos deposition")</f>
        <v>5.4.1.1-4 Atmos deposition</v>
      </c>
      <c r="D45" s="1" t="s">
        <v>274</v>
      </c>
      <c r="E45" s="1" t="s">
        <v>122</v>
      </c>
      <c r="F45" s="1">
        <f>F44</f>
        <v>500</v>
      </c>
      <c r="G45" s="1">
        <f>G44</f>
        <v>0.97847358121330719</v>
      </c>
      <c r="H45" s="1">
        <f>($E$37/F45)*G45</f>
        <v>244.5014705715279</v>
      </c>
      <c r="I45" s="1">
        <f>($F$37/F45)*G45</f>
        <v>263.7642373096686</v>
      </c>
      <c r="J45" s="9" t="s">
        <v>292</v>
      </c>
    </row>
    <row r="46" spans="1:10" ht="20.100000000000001" customHeight="1" x14ac:dyDescent="0.2">
      <c r="A46" s="5" t="str">
        <f>HYPERLINK("#'5.5.1.1-2 Leaching and runoff'!A1", "5.5.1.1-2 Leaching and runoff")</f>
        <v>5.5.1.1-2 Leaching and runoff</v>
      </c>
      <c r="D46" s="1" t="s">
        <v>283</v>
      </c>
      <c r="E46" s="1" t="s">
        <v>122</v>
      </c>
      <c r="F46" s="1">
        <f>X_Cell_Enterprise_EggsProduced</f>
        <v>10</v>
      </c>
      <c r="G46" s="1">
        <f>F46/(F44+F46+F48)</f>
        <v>1.9569471624266144E-2</v>
      </c>
      <c r="H46" s="1">
        <f>($E$36/F46)*G46</f>
        <v>244.5014705715279</v>
      </c>
      <c r="I46" s="1">
        <f>($F$36/F46)*G46</f>
        <v>263.7642373096686</v>
      </c>
      <c r="J46" s="9" t="s">
        <v>293</v>
      </c>
    </row>
    <row r="47" spans="1:10" ht="20.100000000000001" customHeight="1" x14ac:dyDescent="0.2">
      <c r="D47" s="1" t="s">
        <v>284</v>
      </c>
      <c r="E47" s="1" t="s">
        <v>122</v>
      </c>
      <c r="F47" s="1">
        <f>F46</f>
        <v>10</v>
      </c>
      <c r="G47" s="1">
        <f>G46</f>
        <v>1.9569471624266144E-2</v>
      </c>
      <c r="H47" s="1">
        <f>($E$37/F47)*G47</f>
        <v>244.5014705715279</v>
      </c>
      <c r="I47" s="1">
        <f>($F$37/F47)*G47</f>
        <v>263.7642373096686</v>
      </c>
      <c r="J47" s="9" t="s">
        <v>293</v>
      </c>
    </row>
    <row r="48" spans="1:10" ht="20.100000000000001" customHeight="1" x14ac:dyDescent="0.2">
      <c r="D48" s="1" t="s">
        <v>275</v>
      </c>
      <c r="E48" s="1" t="s">
        <v>123</v>
      </c>
      <c r="F48" s="1">
        <f>X_Cell_Enterprise_ManureProduced*X_Cell_Enterprise_PercentManureSold</f>
        <v>1</v>
      </c>
      <c r="G48" s="1">
        <f>F48/(F44+F46+F48)</f>
        <v>1.9569471624266144E-3</v>
      </c>
      <c r="H48" s="1">
        <f>($E$36/F48)*G48</f>
        <v>244.5014705715279</v>
      </c>
      <c r="I48" s="1">
        <f>($F$36/F48)*G48</f>
        <v>263.7642373096686</v>
      </c>
      <c r="J48" s="9" t="s">
        <v>294</v>
      </c>
    </row>
    <row r="49" spans="1:10" ht="20.100000000000001" customHeight="1" x14ac:dyDescent="0.2">
      <c r="A49" s="80" t="s">
        <v>1</v>
      </c>
      <c r="D49" s="1" t="s">
        <v>276</v>
      </c>
      <c r="E49" s="1" t="s">
        <v>123</v>
      </c>
      <c r="F49" s="1">
        <f>F48</f>
        <v>1</v>
      </c>
      <c r="G49" s="1">
        <f>G48</f>
        <v>1.9569471624266144E-3</v>
      </c>
      <c r="H49" s="96">
        <f>($E$37/F49)*G49</f>
        <v>244.5014705715279</v>
      </c>
      <c r="I49" s="96">
        <f>($F$37/F49)*G49</f>
        <v>263.7642373096686</v>
      </c>
      <c r="J49" s="9" t="s">
        <v>294</v>
      </c>
    </row>
    <row r="50" spans="1:10" ht="20.100000000000001" customHeight="1" x14ac:dyDescent="0.2">
      <c r="A50" s="5" t="str">
        <f>HYPERLINK("#'Constants - Poultry'!A1", "Constants - Poultry")</f>
        <v>Constants - Poultry</v>
      </c>
      <c r="D50" s="1" t="s">
        <v>277</v>
      </c>
      <c r="E50" s="1" t="s">
        <v>125</v>
      </c>
      <c r="F50" s="1">
        <f>X_Cell_Enterprise_ManureProduced*X_Cell_Enterprise_PercentManureFertiliserOwnFarm</f>
        <v>1</v>
      </c>
      <c r="G50" s="1" t="s">
        <v>124</v>
      </c>
      <c r="H50" s="1" t="s">
        <v>124</v>
      </c>
      <c r="I50" s="1" t="s">
        <v>124</v>
      </c>
      <c r="J50" s="9"/>
    </row>
    <row r="51" spans="1:10" ht="20.100000000000001" customHeight="1" x14ac:dyDescent="0.2">
      <c r="A51" s="5" t="str">
        <f>HYPERLINK("#'Constants - Common livestock'!A1", "Constants - Common Livestock")</f>
        <v>Constants - Common Livestock</v>
      </c>
    </row>
    <row r="52" spans="1:10" ht="20.100000000000001" customHeight="1" x14ac:dyDescent="0.2">
      <c r="A52" s="5" t="str">
        <f>HYPERLINK("#'Constants - Electricity'!A1", "Constants - Electricity")</f>
        <v>Constants - Electricity</v>
      </c>
      <c r="D52" s="77" t="s">
        <v>146</v>
      </c>
    </row>
    <row r="53" spans="1:10" ht="20.100000000000001" customHeight="1" x14ac:dyDescent="0.2">
      <c r="A53" s="5" t="str">
        <f>HYPERLINK("#'Constants - Fertiliser'!A1", "Constants - Fertiliser")</f>
        <v>Constants - Fertiliser</v>
      </c>
      <c r="D53" s="11" t="s">
        <v>132</v>
      </c>
      <c r="E53" s="11" t="s">
        <v>121</v>
      </c>
      <c r="F53" s="11" t="s">
        <v>117</v>
      </c>
      <c r="G53" s="11" t="s">
        <v>141</v>
      </c>
      <c r="H53" s="11" t="s">
        <v>143</v>
      </c>
      <c r="I53" s="11" t="s">
        <v>144</v>
      </c>
      <c r="J53" s="11" t="s">
        <v>118</v>
      </c>
    </row>
    <row r="54" spans="1:10" ht="20.100000000000001" customHeight="1" x14ac:dyDescent="0.2">
      <c r="A54" s="5" t="str">
        <f>HYPERLINK("#'Constants - Fuel'!A1", "Constants - Fuel")</f>
        <v>Constants - Fuel</v>
      </c>
      <c r="D54" s="1" t="s">
        <v>273</v>
      </c>
      <c r="E54" s="1" t="s">
        <v>122</v>
      </c>
      <c r="F54" s="1">
        <f>X_Cell_Enterprise_BirdsSold</f>
        <v>500</v>
      </c>
      <c r="G54" s="1">
        <f>X_Cell_Enterprise_PercentIncomeFromBirdsSold</f>
        <v>0.8</v>
      </c>
      <c r="H54" s="1">
        <f>$E$36*G54/F54</f>
        <v>199.90440233928126</v>
      </c>
      <c r="I54" s="1">
        <f>$F$36*G54/F54</f>
        <v>215.65364042438509</v>
      </c>
      <c r="J54" s="9" t="s">
        <v>292</v>
      </c>
    </row>
    <row r="55" spans="1:10" ht="20.100000000000001" customHeight="1" x14ac:dyDescent="0.2">
      <c r="A55" s="5" t="str">
        <f>HYPERLINK("#'Constants - Scope 3'!A1", "Constants - Scope 3")</f>
        <v>Constants - Scope 3</v>
      </c>
      <c r="D55" s="1" t="s">
        <v>274</v>
      </c>
      <c r="E55" s="1" t="s">
        <v>122</v>
      </c>
      <c r="F55" s="1">
        <f>F54</f>
        <v>500</v>
      </c>
      <c r="G55" s="1">
        <f>G54</f>
        <v>0.8</v>
      </c>
      <c r="H55" s="1">
        <f>$E$37*G55/F55</f>
        <v>199.90440233928126</v>
      </c>
      <c r="I55" s="1">
        <f>$F$37*G55/F55</f>
        <v>215.65364042438509</v>
      </c>
      <c r="J55" s="9" t="s">
        <v>292</v>
      </c>
    </row>
    <row r="56" spans="1:10" ht="20.100000000000001" customHeight="1" x14ac:dyDescent="0.2">
      <c r="A56" s="5" t="str">
        <f>HYPERLINK("#'Constants - Solid Waste'!A1", "Constants - Solid Waste")</f>
        <v>Constants - Solid Waste</v>
      </c>
      <c r="D56" s="1" t="s">
        <v>283</v>
      </c>
      <c r="E56" s="1" t="s">
        <v>122</v>
      </c>
      <c r="F56" s="1">
        <f>X_Cell_Enterprise_EggsProduced</f>
        <v>10</v>
      </c>
      <c r="G56" s="1">
        <f>X_Cell_Enterprise_PercentIncomeFromEggsSold</f>
        <v>0.8</v>
      </c>
      <c r="H56" s="1">
        <f>$E$36*G56/F56</f>
        <v>9995.220116964063</v>
      </c>
      <c r="I56" s="1">
        <f>$F$36*G56/F56</f>
        <v>10782.682021219254</v>
      </c>
      <c r="J56" s="9" t="s">
        <v>293</v>
      </c>
    </row>
    <row r="57" spans="1:10" ht="20.100000000000001" customHeight="1" x14ac:dyDescent="0.2">
      <c r="A57" s="5" t="str">
        <f>HYPERLINK("#'Constants - Common'!A1", "Constants - Common")</f>
        <v>Constants - Common</v>
      </c>
      <c r="D57" s="1" t="s">
        <v>284</v>
      </c>
      <c r="E57" s="1" t="s">
        <v>122</v>
      </c>
      <c r="F57" s="1">
        <f>F56</f>
        <v>10</v>
      </c>
      <c r="G57" s="1">
        <f>G56</f>
        <v>0.8</v>
      </c>
      <c r="H57" s="1">
        <f>$E$37*G57/F57</f>
        <v>9995.220116964063</v>
      </c>
      <c r="I57" s="1">
        <f>$F$37*G57/F57</f>
        <v>10782.682021219254</v>
      </c>
      <c r="J57" s="9" t="s">
        <v>293</v>
      </c>
    </row>
    <row r="58" spans="1:10" ht="20.100000000000001" customHeight="1" x14ac:dyDescent="0.2">
      <c r="D58" s="1" t="s">
        <v>275</v>
      </c>
      <c r="E58" s="1" t="s">
        <v>123</v>
      </c>
      <c r="F58" s="1">
        <f>X_Cell_Enterprise_ManureProduced*X_Cell_Enterprise_PercentManureSold</f>
        <v>1</v>
      </c>
      <c r="G58" s="1">
        <f>X_Cell_Enterprise_PercentIncomeFromManureSold</f>
        <v>0.2</v>
      </c>
      <c r="H58" s="1">
        <f>$E$36*G58/F58</f>
        <v>24988.050292410157</v>
      </c>
      <c r="I58" s="1">
        <f>$F$36*G58/F58</f>
        <v>26956.705053048136</v>
      </c>
      <c r="J58" s="9" t="s">
        <v>294</v>
      </c>
    </row>
    <row r="59" spans="1:10" ht="20.100000000000001" customHeight="1" x14ac:dyDescent="0.2">
      <c r="D59" s="1" t="s">
        <v>276</v>
      </c>
      <c r="E59" s="1" t="s">
        <v>123</v>
      </c>
      <c r="F59" s="1">
        <f>F58</f>
        <v>1</v>
      </c>
      <c r="G59" s="1">
        <f>G58</f>
        <v>0.2</v>
      </c>
      <c r="H59" s="1">
        <f>$E$37*G59/F59</f>
        <v>24988.050292410157</v>
      </c>
      <c r="I59" s="1">
        <f>$F$37*G59/F59</f>
        <v>26956.705053048136</v>
      </c>
      <c r="J59" s="9" t="s">
        <v>294</v>
      </c>
    </row>
    <row r="60" spans="1:10" ht="20.100000000000001" customHeight="1" x14ac:dyDescent="0.2">
      <c r="D60" s="1" t="s">
        <v>277</v>
      </c>
      <c r="E60" s="1" t="s">
        <v>125</v>
      </c>
      <c r="F60" s="1">
        <f>X_Cell_Enterprise_ManureProduced*X_Cell_Enterprise_PercentManureFertiliserOwnFarm</f>
        <v>1</v>
      </c>
      <c r="G60" s="1" t="s">
        <v>124</v>
      </c>
      <c r="H60" s="1" t="s">
        <v>124</v>
      </c>
      <c r="I60" s="1" t="s">
        <v>124</v>
      </c>
      <c r="J60"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0"/>
  <sheetViews>
    <sheetView showGridLines="0" zoomScaleNormal="100" workbookViewId="0">
      <pane xSplit="1" topLeftCell="B1" activePane="topRight" state="frozenSplit"/>
      <selection pane="topRight" activeCell="A56" sqref="A56"/>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7" t="s">
        <v>139</v>
      </c>
      <c r="D1" s="21"/>
      <c r="E1" s="21"/>
      <c r="F1" s="21"/>
      <c r="G1" s="21"/>
      <c r="H1" s="21"/>
      <c r="I1" s="21"/>
      <c r="J1" s="21"/>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v>
      </c>
      <c r="E5" s="24"/>
      <c r="F5" s="24"/>
      <c r="G5" s="24"/>
    </row>
    <row r="6" spans="1:10" ht="20.100000000000001" customHeight="1" x14ac:dyDescent="0.2">
      <c r="D6" s="31"/>
      <c r="E6" s="24"/>
      <c r="F6" s="24"/>
      <c r="G6" s="24"/>
    </row>
    <row r="7" spans="1:10" ht="20.100000000000001" customHeight="1" x14ac:dyDescent="0.2">
      <c r="D7" s="1" t="s">
        <v>88</v>
      </c>
      <c r="E7" s="33" t="s">
        <v>89</v>
      </c>
      <c r="F7" s="16"/>
      <c r="G7" s="24"/>
    </row>
    <row r="8" spans="1:10" ht="20.100000000000001" customHeight="1" x14ac:dyDescent="0.2">
      <c r="A8" s="7" t="s">
        <v>0</v>
      </c>
      <c r="D8" s="12" t="s">
        <v>90</v>
      </c>
      <c r="E8" s="33" t="s">
        <v>91</v>
      </c>
      <c r="F8" s="24"/>
      <c r="G8" s="24"/>
    </row>
    <row r="9" spans="1:10" ht="20.100000000000001" customHeight="1" x14ac:dyDescent="0.2">
      <c r="A9" s="100" t="str">
        <f>HYPERLINK("#'Input - Enterprise'!A1", "Enterprise")</f>
        <v>Enterprise</v>
      </c>
      <c r="D9" s="24"/>
      <c r="E9" s="24"/>
      <c r="F9" s="24"/>
      <c r="G9" s="24"/>
    </row>
    <row r="10" spans="1:10" ht="20.100000000000001" customHeight="1" x14ac:dyDescent="0.2">
      <c r="A10" s="5" t="str">
        <f>HYPERLINK("#'Input - Site'!A1", "Site")</f>
        <v>Site</v>
      </c>
      <c r="D10" s="35" t="s">
        <v>92</v>
      </c>
      <c r="E10" s="36"/>
      <c r="F10" s="37"/>
      <c r="G10" s="38"/>
    </row>
    <row r="11" spans="1:10" ht="20.100000000000001" customHeight="1" x14ac:dyDescent="0.2">
      <c r="A11" s="5" t="str">
        <f>HYPERLINK("#'Input - Poultry'!A1", "Poultry")</f>
        <v>Poultry</v>
      </c>
      <c r="D11" s="24"/>
      <c r="E11" s="24"/>
      <c r="F11" s="24"/>
      <c r="G11" s="24"/>
    </row>
    <row r="12" spans="1:10" ht="20.100000000000001" customHeight="1" x14ac:dyDescent="0.2">
      <c r="A12" s="5" t="str">
        <f>HYPERLINK("#'Input - Livestock sales'!A1", "Livestock sales")</f>
        <v>Livestock sales</v>
      </c>
      <c r="D12" s="12" t="s">
        <v>16</v>
      </c>
      <c r="E12" s="14">
        <v>45658</v>
      </c>
      <c r="F12" s="16" t="s">
        <v>93</v>
      </c>
      <c r="G12" s="24"/>
    </row>
    <row r="13" spans="1:10" ht="20.100000000000001" customHeight="1" x14ac:dyDescent="0.2">
      <c r="A13" s="5" t="str">
        <f>HYPERLINK("#'Input - Poultry purchases'!A1", "Poultry purchases")</f>
        <v>Poultry purchases</v>
      </c>
      <c r="D13" s="12" t="s">
        <v>17</v>
      </c>
      <c r="E13" s="40">
        <f>DATE(YEAR(E12)+1,MONTH(E12),DAY(E12))-1</f>
        <v>46022</v>
      </c>
      <c r="F13" s="16" t="s">
        <v>94</v>
      </c>
      <c r="G13" s="24"/>
    </row>
    <row r="14" spans="1:10" ht="20.100000000000001" customHeight="1" x14ac:dyDescent="0.2">
      <c r="A14" s="5" t="str">
        <f>HYPERLINK("#'Input - Fuel'!A1", "Fuel")</f>
        <v>Fuel</v>
      </c>
      <c r="F14" s="24"/>
      <c r="G14" s="24"/>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Livestock farm Inputs'!A1", "Livestock farm Inputs")</f>
        <v>Livestock farm Inputs</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Manure sent off-site'!A1", "Manure sent off-site")</f>
        <v>Manure sent off-site</v>
      </c>
      <c r="D20" s="1" t="s">
        <v>15</v>
      </c>
      <c r="E20" s="15">
        <f>DATEDIF(E18,E19+1,"m")</f>
        <v>5</v>
      </c>
      <c r="F20" s="16" t="s">
        <v>116</v>
      </c>
    </row>
    <row r="21" spans="1:6" ht="20.100000000000001" customHeight="1" x14ac:dyDescent="0.2">
      <c r="A21" s="5" t="str">
        <f>HYPERLINK("#'Input - Data quality'!A1", "Data quality")</f>
        <v>Data quality</v>
      </c>
    </row>
    <row r="22" spans="1:6" ht="20.100000000000001" customHeight="1" x14ac:dyDescent="0.2">
      <c r="A22" s="5" t="str">
        <f>HYPERLINK("#'Input - Fert Prod System'!A1", "Fert Prod System")</f>
        <v>Fert Prod System</v>
      </c>
      <c r="D22" s="1" t="s">
        <v>279</v>
      </c>
      <c r="E22" s="76">
        <f>SUM(Table_Input_LivestockSales[Total liveweight sold])*10^-3</f>
        <v>500</v>
      </c>
      <c r="F22" s="16" t="s">
        <v>19</v>
      </c>
    </row>
    <row r="23" spans="1:6" ht="20.100000000000001" customHeight="1" x14ac:dyDescent="0.2">
      <c r="A23" s="5" t="str">
        <f>HYPERLINK("#'Input - Fertiliser'!A1", "Fertiliser")</f>
        <v>Fertiliser</v>
      </c>
      <c r="D23" s="1" t="s">
        <v>280</v>
      </c>
      <c r="E23" s="74">
        <v>10</v>
      </c>
      <c r="F23" s="16" t="s">
        <v>19</v>
      </c>
    </row>
    <row r="24" spans="1:6" ht="20.100000000000001" customHeight="1" x14ac:dyDescent="0.2">
      <c r="D24" s="1" t="s">
        <v>265</v>
      </c>
      <c r="E24" s="74">
        <v>10</v>
      </c>
      <c r="F24" s="16" t="s">
        <v>19</v>
      </c>
    </row>
    <row r="25" spans="1:6" ht="20.100000000000001" customHeight="1" x14ac:dyDescent="0.2">
      <c r="D25" s="1" t="s">
        <v>271</v>
      </c>
      <c r="E25" s="18">
        <v>0.1</v>
      </c>
      <c r="F25" s="16" t="s">
        <v>140</v>
      </c>
    </row>
    <row r="26" spans="1:6" ht="20.100000000000001" customHeight="1" x14ac:dyDescent="0.2">
      <c r="A26" s="6" t="s">
        <v>2</v>
      </c>
      <c r="D26" s="1" t="s">
        <v>272</v>
      </c>
      <c r="E26" s="18">
        <v>0.1</v>
      </c>
      <c r="F26" s="16" t="s">
        <v>140</v>
      </c>
    </row>
    <row r="27" spans="1:6" ht="20.100000000000001" customHeight="1" x14ac:dyDescent="0.2">
      <c r="A27" s="5" t="str">
        <f>HYPERLINK("#'4.6.1.1-2 Methane'!A1", "4.6.1.1-2 Manure Methane")</f>
        <v>4.6.1.1-2 Manure Methane</v>
      </c>
    </row>
    <row r="28" spans="1:6" ht="20.100000000000001" customHeight="1" x14ac:dyDescent="0.2">
      <c r="A28" s="5" t="str">
        <f>HYPERLINK("#'4.6.1.3-4 Direct N20'!A1", "4.6.1.3-4 Manure Direct N2O")</f>
        <v>4.6.1.3-4 Manure Direct N2O</v>
      </c>
      <c r="D28" s="1" t="s">
        <v>281</v>
      </c>
      <c r="E28" s="18">
        <v>0.8</v>
      </c>
      <c r="F28" s="16" t="s">
        <v>140</v>
      </c>
    </row>
    <row r="29" spans="1:6" ht="20.100000000000001" customHeight="1" x14ac:dyDescent="0.2">
      <c r="A29" s="5" t="str">
        <f>HYPERLINK("#'4.6.1.5-6 Atmos Dep'!A1", "4.6.1.5-6 Manure Atmos Dep")</f>
        <v>4.6.1.5-6 Manure Atmos Dep</v>
      </c>
      <c r="D29" s="1" t="s">
        <v>282</v>
      </c>
      <c r="E29" s="18">
        <v>0.8</v>
      </c>
      <c r="F29" s="16" t="s">
        <v>140</v>
      </c>
    </row>
    <row r="30" spans="1:6" ht="20.100000000000001" customHeight="1" x14ac:dyDescent="0.2">
      <c r="A30" s="5" t="str">
        <f>HYPERLINK("#'4.6.1.7-8 Leaching and runoff'!A1", "4.6.1.7-8 Manure Leaching and runoff")</f>
        <v>4.6.1.7-8 Manure Leaching and runoff</v>
      </c>
      <c r="D30" s="1" t="s">
        <v>270</v>
      </c>
      <c r="E30" s="18">
        <v>0.2</v>
      </c>
      <c r="F30" s="16" t="s">
        <v>140</v>
      </c>
    </row>
    <row r="31" spans="1:6" ht="20.100000000000001" customHeight="1" x14ac:dyDescent="0.2">
      <c r="A31" s="5" t="str">
        <f>HYPERLINK("#'4.6.1.9 Manure applied to soils'!A1", "4.6.1.9 Manure applied to soils")</f>
        <v>4.6.1.9 Manure applied to soils</v>
      </c>
    </row>
    <row r="32" spans="1:6" ht="20.100000000000001" customHeight="1" x14ac:dyDescent="0.2">
      <c r="A32" s="5" t="str">
        <f>HYPERLINK("#'4.6.1.10-11 Soil direct N2O'!A1", "4.6.1.10-11 Soil direct N2O")</f>
        <v>4.6.1.10-11 Soil direct N2O</v>
      </c>
    </row>
    <row r="33" spans="1:7" ht="20.100000000000001" customHeight="1" x14ac:dyDescent="0.2">
      <c r="A33" s="5" t="str">
        <f>HYPERLINK("#'4.6.1.12-13 Soil atmos dep'!A1", "4.6.1.12-13 Soil atmos dep")</f>
        <v>4.6.1.12-13 Soil atmos dep</v>
      </c>
      <c r="D33" s="2" t="s">
        <v>228</v>
      </c>
    </row>
    <row r="34" spans="1:7" ht="20.100000000000001" customHeight="1" x14ac:dyDescent="0.2">
      <c r="A34" s="5" t="str">
        <f>HYPERLINK("#'4.6.1.14-15 Soil leach runoff'!A1", "4.6.1.14-15 Soil leach runoff")</f>
        <v>4.6.1.14-15 Soil leach runoff</v>
      </c>
    </row>
    <row r="35" spans="1:7" ht="20.100000000000001" customHeight="1" x14ac:dyDescent="0.2">
      <c r="A35" s="5" t="str">
        <f>HYPERLINK("#'8.1.1.1-2 Transport fuel'!A1", "8.1.1.1-2 Transport fuel")</f>
        <v>8.1.1.1-2 Transport fuel</v>
      </c>
    </row>
    <row r="36" spans="1:7" ht="20.100000000000001" customHeight="1" x14ac:dyDescent="0.2">
      <c r="A36" s="5" t="str">
        <f>HYPERLINK("#'8.2.1.1-2 Stationary fuel'!A1", "8.2.1.1-2 Stationary fuel")</f>
        <v>8.2.1.1-2 Stationary fuel</v>
      </c>
      <c r="D36" s="77" t="str">
        <f>"Carbon captured from " &amp; TEXT(X_Cell_Site_StartDate, "d mmmm yyyy") &amp; " to " &amp; TEXT(X_Cell_Site_EndDate, "d, mmmm, yyyy") &amp; " from environmental plantings"</f>
        <v>Carbon captured from 1 January 2025 to 31, December, 2025 from environmental plantings</v>
      </c>
    </row>
    <row r="37" spans="1:7" ht="20.100000000000001" customHeight="1" x14ac:dyDescent="0.2">
      <c r="A37" s="5" t="str">
        <f>HYPERLINK("#'10.1.1-2 Solid waste treatment'!A1", "10.1.1.1-2 Solid waste")</f>
        <v>10.1.1.1-2 Solid waste</v>
      </c>
    </row>
    <row r="38" spans="1:7" ht="20.100000000000001" customHeight="1" x14ac:dyDescent="0.2">
      <c r="A38" s="5" t="str">
        <f>HYPERLINK("#'14.1.1-2 Purchased electricity'!A1", "14.1.1-2 Purchased electricity")</f>
        <v>14.1.1-2 Purchased electricity</v>
      </c>
      <c r="D38" s="19" t="s">
        <v>229</v>
      </c>
      <c r="E38" s="19" t="s">
        <v>230</v>
      </c>
      <c r="F38" s="19" t="s">
        <v>231</v>
      </c>
      <c r="G38" s="78" t="s">
        <v>232</v>
      </c>
    </row>
    <row r="39" spans="1:7" ht="20.100000000000001" customHeight="1" x14ac:dyDescent="0.2">
      <c r="A39" s="5" t="str">
        <f>HYPERLINK("#'15 Scope 3'!A1", "15 Scope 3")</f>
        <v>15 Scope 3</v>
      </c>
      <c r="D39" s="33"/>
      <c r="E39" s="74"/>
      <c r="F39" s="18"/>
      <c r="G39" s="1">
        <f>Table_Input_Enterprise_PlantingRemovals[[#This Row],[Total removed CO2]]*Table_Input_Enterprise_PlantingRemovals[[#This Row],[Percent allocated to this enterprise]]</f>
        <v>0</v>
      </c>
    </row>
    <row r="40" spans="1:7" ht="20.100000000000001" customHeight="1" x14ac:dyDescent="0.2">
      <c r="A40" s="5" t="str">
        <f>HYPERLINK("#'Calcs - Manure sent off-site'!A1", "Calcs - Manure sent off-site")</f>
        <v>Calcs - Manure sent off-site</v>
      </c>
    </row>
    <row r="41" spans="1:7" ht="20.100000000000001" customHeight="1" x14ac:dyDescent="0.2">
      <c r="A41" s="5" t="str">
        <f>HYPERLINK("#'5.1.1.1-2 Inorganic fert N2O'!A1", "5.1.1.1-2 Inorganic fert N2O")</f>
        <v>5.1.1.1-2 Inorganic fert N2O</v>
      </c>
    </row>
    <row r="42" spans="1:7" ht="20.100000000000001" customHeight="1" x14ac:dyDescent="0.2">
      <c r="A42" s="5" t="str">
        <f>HYPERLINK("#'5.1.1.3-4 Inorganic fert CO2'!A1", "5.1.1.3-4 Inorganic fert CO2")</f>
        <v>5.1.1.3-4 Inorganic fert CO2</v>
      </c>
    </row>
    <row r="43" spans="1:7" ht="20.100000000000001" customHeight="1" x14ac:dyDescent="0.2">
      <c r="A43" s="5" t="str">
        <f>HYPERLINK("#'5.2.1.1-2 Organic Fert N2O'!A1", "5.2.1.1-2 Organic Fert N2O")</f>
        <v>5.2.1.1-2 Organic Fert N2O</v>
      </c>
      <c r="D43" s="2" t="s">
        <v>233</v>
      </c>
    </row>
    <row r="44" spans="1:7" ht="20.100000000000001" customHeight="1" x14ac:dyDescent="0.2">
      <c r="A44" s="5" t="str">
        <f>HYPERLINK("#'5.3.1.1-2 Lime CO2'!A1", "5.3.1.1-2 Lime CO2")</f>
        <v>5.3.1.1-2 Lime CO2</v>
      </c>
    </row>
    <row r="45" spans="1:7" ht="20.100000000000001" customHeight="1" x14ac:dyDescent="0.2">
      <c r="A45" s="5" t="str">
        <f>HYPERLINK("#'5.4.1.1-4 Atmos deposition'!A1", "5.4.1.1-4 Atmos deposition")</f>
        <v>5.4.1.1-4 Atmos deposition</v>
      </c>
      <c r="D45" s="77"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6" spans="1:7" ht="20.100000000000001" customHeight="1" x14ac:dyDescent="0.2">
      <c r="A46" s="5" t="str">
        <f>HYPERLINK("#'5.5.1.1-2 Leaching and runoff'!A1", "5.5.1.1-2 Leaching and runoff")</f>
        <v>5.5.1.1-2 Leaching and runoff</v>
      </c>
    </row>
    <row r="47" spans="1:7" ht="20.100000000000001" customHeight="1" x14ac:dyDescent="0.2">
      <c r="D47" s="87" t="str" cm="1">
        <f t="array" ref="D47">"There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8" spans="1:7" ht="20.100000000000001" customHeight="1" x14ac:dyDescent="0.2">
      <c r="D48" s="1" t="s">
        <v>234</v>
      </c>
    </row>
    <row r="49" spans="1:7" ht="20.100000000000001" customHeight="1" x14ac:dyDescent="0.2">
      <c r="A49" s="80" t="s">
        <v>1</v>
      </c>
    </row>
    <row r="50" spans="1:7" ht="20.100000000000001" customHeight="1" x14ac:dyDescent="0.2">
      <c r="A50" s="5" t="str">
        <f>HYPERLINK("#'Constants - Poultry'!A1", "Constants - Poultry")</f>
        <v>Constants - Poultry</v>
      </c>
      <c r="D50" s="78" t="s">
        <v>115</v>
      </c>
      <c r="E50" s="78" t="s">
        <v>10</v>
      </c>
      <c r="F50" s="78" t="s">
        <v>11</v>
      </c>
    </row>
    <row r="51" spans="1:7" ht="20.100000000000001" customHeight="1" x14ac:dyDescent="0.2">
      <c r="A51" s="5" t="str">
        <f>HYPERLINK("#'Constants - Common livestock'!A1", "Constants - Common Livestock")</f>
        <v>Constants - Common Livestock</v>
      </c>
      <c r="D51" s="1" t="str" cm="1">
        <f t="array" ref="D51:D52">Common_InputFunctions.getOverlappingReportingPeriods(X_Cell_Enterprise_ProductionTimeframeStart,X_Cell_Enterprise_ProductionTimeframeEnd,X_Cell_Site_StartDate)</f>
        <v>01 Jan 2025 to 31 Dec 2025 (This reporting cycle)</v>
      </c>
      <c r="E51" s="74">
        <f>IF(ISBLANK($D51), 0, IF(ISNUMBER(SEARCH("reporting", $D51)), Result_Enterprise_Gross_Method1, "Enter value"))</f>
        <v>124940.25146205077</v>
      </c>
      <c r="F51" s="74">
        <f>IF(ISBLANK($D51), 0, IF(ISNUMBER(SEARCH("reporting", $D51)), Result_Enterprise_Gross_Method2, "Enter value"))</f>
        <v>134783.52526524066</v>
      </c>
      <c r="G51" s="9" t="s">
        <v>7</v>
      </c>
    </row>
    <row r="52" spans="1:7" ht="20.100000000000001" customHeight="1" x14ac:dyDescent="0.2">
      <c r="A52" s="5" t="str">
        <f>HYPERLINK("#'Constants - Electricity'!A1", "Constants - Electricity")</f>
        <v>Constants - Electricity</v>
      </c>
      <c r="D52" s="1" t="str">
        <v>01 Jan 2026 to 31 Dec 2026</v>
      </c>
      <c r="E52" s="74" t="str">
        <f>IF(ISBLANK($D52), 0, IF(ISNUMBER(SEARCH("reporting", $D52)), Result_Enterprise_Gross_Method1, "Enter value"))</f>
        <v>Enter value</v>
      </c>
      <c r="F52" s="74" t="str">
        <f>IF(ISBLANK($D52), 0, IF(ISNUMBER(SEARCH("reporting", $D52)), Result_Enterprise_Gross_Method2, "Enter value"))</f>
        <v>Enter value</v>
      </c>
      <c r="G52" s="9" t="s">
        <v>7</v>
      </c>
    </row>
    <row r="53" spans="1:7" ht="20.100000000000001" customHeight="1" x14ac:dyDescent="0.2">
      <c r="A53" s="5" t="str">
        <f>HYPERLINK("#'Constants - Fertiliser'!A1", "Constants - Fertiliser")</f>
        <v>Constants - Fertiliser</v>
      </c>
      <c r="E53" s="74">
        <f>IF(ISBLANK($D53), 0, IF(ISNUMBER(SEARCH("reporting", $D53)), Result_Enterprise_Gross_Method1, "Enter value"))</f>
        <v>0</v>
      </c>
      <c r="F53" s="74">
        <f>IF(ISBLANK($D53), 0, IF(ISNUMBER(SEARCH("reporting", $D53)), Result_Enterprise_Gross_Method2, "Enter value"))</f>
        <v>0</v>
      </c>
      <c r="G53" s="9" t="s">
        <v>7</v>
      </c>
    </row>
    <row r="54" spans="1:7" ht="20.100000000000001" customHeight="1" x14ac:dyDescent="0.2">
      <c r="A54" s="5" t="str">
        <f>HYPERLINK("#'Constants - Fuel'!A1", "Constants - Fuel")</f>
        <v>Constants - Fuel</v>
      </c>
      <c r="E54" s="74">
        <f>IF(ISBLANK($D54), 0, IF(ISNUMBER(SEARCH("reporting", $D54)), Result_Enterprise_Gross_Method1, "Enter value"))</f>
        <v>0</v>
      </c>
      <c r="F54" s="74">
        <f>IF(ISBLANK($D54), 0, IF(ISNUMBER(SEARCH("reporting", $D54)), Result_Enterprise_Gross_Method2, "Enter value"))</f>
        <v>0</v>
      </c>
      <c r="G54" s="9" t="s">
        <v>7</v>
      </c>
    </row>
    <row r="55" spans="1:7" ht="20.100000000000001" customHeight="1" x14ac:dyDescent="0.2">
      <c r="A55" s="5" t="str">
        <f>HYPERLINK("#'Constants - Scope 3'!A1", "Constants - Scope 3")</f>
        <v>Constants - Scope 3</v>
      </c>
      <c r="E55" s="74">
        <f>IF(ISBLANK($D55), 0, IF(ISNUMBER(SEARCH("reporting", $D55)), Result_Enterprise_Gross_Method1, "Enter value"))</f>
        <v>0</v>
      </c>
      <c r="F55" s="74">
        <f>IF(ISBLANK($D55), 0, IF(ISNUMBER(SEARCH("reporting", $D55)), Result_Enterprise_Gross_Method2, "Enter value"))</f>
        <v>0</v>
      </c>
      <c r="G55" s="9" t="s">
        <v>7</v>
      </c>
    </row>
    <row r="56" spans="1:7" ht="20.100000000000001" customHeight="1" x14ac:dyDescent="0.2">
      <c r="A56" s="5" t="str">
        <f>HYPERLINK("#'Constants - Solid Waste'!A1", "Constants - Solid Waste")</f>
        <v>Constants - Solid Waste</v>
      </c>
      <c r="D56" s="88" t="s">
        <v>128</v>
      </c>
      <c r="E56" s="83">
        <f>SUM(E51:E55)</f>
        <v>124940.25146205077</v>
      </c>
      <c r="F56" s="83">
        <f>SUM(F51:F55)</f>
        <v>134783.52526524066</v>
      </c>
      <c r="G56" s="89" t="s">
        <v>7</v>
      </c>
    </row>
    <row r="57" spans="1:7" ht="20.100000000000001" customHeight="1" x14ac:dyDescent="0.2">
      <c r="A57" s="5" t="str">
        <f>HYPERLINK("#'Constants - Common'!A1", "Constants - Common")</f>
        <v>Constants - Common</v>
      </c>
    </row>
    <row r="61" spans="1:7" ht="20.100000000000001" customHeight="1" x14ac:dyDescent="0.2">
      <c r="D61" s="77"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3" spans="1:7" ht="20.100000000000001" customHeight="1" x14ac:dyDescent="0.2">
      <c r="D63" s="78" t="s">
        <v>115</v>
      </c>
      <c r="E63" s="78" t="s">
        <v>126</v>
      </c>
      <c r="F63" s="78"/>
    </row>
    <row r="64" spans="1:7" ht="20.100000000000001" customHeight="1" x14ac:dyDescent="0.2">
      <c r="D64" s="1" t="str" cm="1">
        <f t="array" ref="D64:D65">Common_InputFunctions.getOverlappingReportingPeriods(X_Cell_Enterprise_ProductionTimeframeStart,X_Cell_Enterprise_ProductionTimeframeEnd,X_Cell_Site_StartDate)</f>
        <v>01 Jan 2025 to 31 Dec 2025 (This reporting cycle)</v>
      </c>
      <c r="E64" s="74">
        <f>IF(ISBLANK($D64), 0, IF(ISNUMBER(SEARCH("reporting", $D64)), SUM(Table_Input_Enterprise_PlantingRemovals[Removal allocated to this enterprise]), "Enter value"))</f>
        <v>0</v>
      </c>
      <c r="F64" s="9" t="s">
        <v>127</v>
      </c>
    </row>
    <row r="65" spans="1:7" ht="20.100000000000001" customHeight="1" x14ac:dyDescent="0.2">
      <c r="D65" s="1" t="str">
        <v>01 Jan 2026 to 31 Dec 2026</v>
      </c>
      <c r="E65" s="74" t="str">
        <f>IF(ISBLANK($D65), 0, IF(ISNUMBER(SEARCH("reporting", $D65)), SUM(Table_Input_Enterprise_PlantingRemovals[Removal allocated to this enterprise]), "Enter value"))</f>
        <v>Enter value</v>
      </c>
      <c r="F65" s="9" t="s">
        <v>127</v>
      </c>
    </row>
    <row r="66" spans="1:7" ht="20.100000000000001" customHeight="1" x14ac:dyDescent="0.2">
      <c r="E66" s="74">
        <f>IF(ISBLANK($D66), 0, IF(ISNUMBER(SEARCH("reporting", $D66)), SUM(Table_Input_Enterprise_PlantingRemovals[Removal allocated to this enterprise]), "Enter value"))</f>
        <v>0</v>
      </c>
      <c r="F66" s="9" t="s">
        <v>127</v>
      </c>
    </row>
    <row r="67" spans="1:7" ht="20.100000000000001" customHeight="1" x14ac:dyDescent="0.2">
      <c r="E67" s="74">
        <f>IF(ISBLANK($D67), 0, IF(ISNUMBER(SEARCH("reporting", $D67)), SUM(Table_Input_Enterprise_PlantingRemovals[Removal allocated to this enterprise]), "Enter value"))</f>
        <v>0</v>
      </c>
      <c r="F67" s="9" t="s">
        <v>127</v>
      </c>
    </row>
    <row r="68" spans="1:7" ht="20.100000000000001" customHeight="1" x14ac:dyDescent="0.2">
      <c r="A68" s="79" t="str">
        <f>HYPERLINK("#A1", "▲ Back to top")</f>
        <v>▲ Back to top</v>
      </c>
      <c r="E68" s="74">
        <f>IF(ISBLANK($D68), 0, IF(ISNUMBER(SEARCH("reporting", $D68)), SUM(Table_Input_Enterprise_PlantingRemovals[Removal allocated to this enterprise]), "Enter value"))</f>
        <v>0</v>
      </c>
      <c r="F68" s="9" t="s">
        <v>127</v>
      </c>
    </row>
    <row r="69" spans="1:7" ht="20.100000000000001" customHeight="1" x14ac:dyDescent="0.2">
      <c r="D69" s="88" t="s">
        <v>129</v>
      </c>
      <c r="E69" s="83">
        <f>SUM(E64:E68)</f>
        <v>0</v>
      </c>
      <c r="F69" s="89" t="s">
        <v>127</v>
      </c>
    </row>
    <row r="72" spans="1:7" ht="20.100000000000001" customHeight="1" x14ac:dyDescent="0.2">
      <c r="D72" s="77"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4" spans="1:7" ht="20.100000000000001" customHeight="1" x14ac:dyDescent="0.2">
      <c r="D74" s="78" t="s">
        <v>115</v>
      </c>
      <c r="E74" s="78" t="s">
        <v>10</v>
      </c>
      <c r="F74" s="78" t="s">
        <v>11</v>
      </c>
    </row>
    <row r="75" spans="1:7" ht="20.100000000000001" customHeight="1" x14ac:dyDescent="0.2">
      <c r="D75" s="1" t="str" cm="1">
        <f t="array" ref="D75:D76">Common_InputFunctions.getOverlappingReportingPeriods(X_Cell_Enterprise_ProductionTimeframeStart,X_Cell_Enterprise_ProductionTimeframeEnd,X_Cell_Site_StartDate)</f>
        <v>01 Jan 2025 to 31 Dec 2025 (This reporting cycle)</v>
      </c>
      <c r="E75" s="74">
        <f>IF(ISBLANK($D75), 0, IF(ISNUMBER(SEARCH("reporting", $D75)), E51-$E$64, "Enter value"))</f>
        <v>124940.25146205077</v>
      </c>
      <c r="F75" s="74">
        <f>IF(ISBLANK($D75), 0, IF(ISNUMBER(SEARCH("reporting", $D75)), F51-$E$64, "Enter value"))</f>
        <v>134783.52526524066</v>
      </c>
      <c r="G75" s="9" t="s">
        <v>7</v>
      </c>
    </row>
    <row r="76" spans="1:7" ht="20.100000000000001" customHeight="1" x14ac:dyDescent="0.2">
      <c r="D76" s="1" t="str">
        <v>01 Jan 2026 to 31 Dec 2026</v>
      </c>
      <c r="E76" s="74" t="str">
        <f>IF(ISBLANK($D76), 0, IF(ISNUMBER(SEARCH("reporting", $D76)), E52-$E$65, "Enter value"))</f>
        <v>Enter value</v>
      </c>
      <c r="F76" s="74" t="str">
        <f>IF(ISBLANK($D76), 0, IF(ISNUMBER(SEARCH("reporting", $D76)), F52-$E$65, "Enter value"))</f>
        <v>Enter value</v>
      </c>
      <c r="G76" s="9" t="s">
        <v>7</v>
      </c>
    </row>
    <row r="77" spans="1:7" ht="20.100000000000001" customHeight="1" x14ac:dyDescent="0.2">
      <c r="E77" s="74">
        <f>IF(ISBLANK($D77), 0, IF(ISNUMBER(SEARCH("reporting", $D77)), E53-$E$66, "Enter value"))</f>
        <v>0</v>
      </c>
      <c r="F77" s="74">
        <f>IF(ISBLANK($D77), 0, IF(ISNUMBER(SEARCH("reporting", $D77)), F53-$E$66, "Enter value"))</f>
        <v>0</v>
      </c>
      <c r="G77" s="9" t="s">
        <v>7</v>
      </c>
    </row>
    <row r="78" spans="1:7" ht="20.100000000000001" customHeight="1" x14ac:dyDescent="0.2">
      <c r="E78" s="74">
        <f>IF(ISBLANK($D78), 0, IF(ISNUMBER(SEARCH("reporting", $D78)), E54-$E$67, "Enter value"))</f>
        <v>0</v>
      </c>
      <c r="F78" s="74">
        <f>IF(ISBLANK($D78), 0, IF(ISNUMBER(SEARCH("reporting", $D78)), F54-$E$67, "Enter value"))</f>
        <v>0</v>
      </c>
      <c r="G78" s="9" t="s">
        <v>7</v>
      </c>
    </row>
    <row r="79" spans="1:7" ht="20.100000000000001" customHeight="1" x14ac:dyDescent="0.2">
      <c r="E79" s="74">
        <f>IF(ISBLANK($D79), 0, IF(ISNUMBER(SEARCH("reporting", $D79)), E55-$E$68, "Enter value"))</f>
        <v>0</v>
      </c>
      <c r="F79" s="74">
        <f>IF(ISBLANK($D79), 0, IF(ISNUMBER(SEARCH("reporting", $D79)), F55-$E$68, "Enter value"))</f>
        <v>0</v>
      </c>
      <c r="G79" s="9" t="s">
        <v>7</v>
      </c>
    </row>
    <row r="80" spans="1:7" ht="20.100000000000001" customHeight="1" x14ac:dyDescent="0.2">
      <c r="D80" s="88" t="s">
        <v>128</v>
      </c>
      <c r="E80" s="83">
        <f>SUM(E75:E79)</f>
        <v>124940.25146205077</v>
      </c>
      <c r="F80" s="83">
        <f>SUM(F75:F79)</f>
        <v>134783.52526524066</v>
      </c>
      <c r="G80" s="89"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56" sqref="A56"/>
    </sheetView>
  </sheetViews>
  <sheetFormatPr defaultColWidth="9.140625" defaultRowHeight="20.100000000000001" customHeight="1" x14ac:dyDescent="0.2"/>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
      <c r="A2"/>
      <c r="C2" s="3"/>
      <c r="D2" s="3"/>
      <c r="E2" s="3"/>
      <c r="F2" s="3"/>
      <c r="G2" s="3"/>
      <c r="H2" s="3"/>
      <c r="I2" s="3"/>
      <c r="J2" s="3"/>
    </row>
    <row r="3" spans="1:24" ht="20.100000000000001" customHeight="1" x14ac:dyDescent="0.2">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c r="C4" s="29"/>
      <c r="D4" s="29"/>
      <c r="E4" s="29"/>
      <c r="F4" s="29"/>
      <c r="G4" s="29"/>
      <c r="H4" s="29"/>
      <c r="I4" s="29"/>
      <c r="J4" s="29"/>
      <c r="K4" s="29"/>
    </row>
    <row r="5" spans="1:24" ht="20.100000000000001" customHeight="1" x14ac:dyDescent="0.2">
      <c r="A5" s="5" t="str">
        <f>HYPERLINK("#'Results - Product EI'!A1", "Results - Product Emissions Intensity")</f>
        <v>Results - Product Emissions Intensity</v>
      </c>
      <c r="D5" s="2" t="s">
        <v>95</v>
      </c>
      <c r="N5" s="30"/>
    </row>
    <row r="6" spans="1:24" ht="20.100000000000001" customHeight="1" x14ac:dyDescent="0.2">
      <c r="A6"/>
      <c r="N6" s="32"/>
    </row>
    <row r="7" spans="1:24" ht="20.100000000000001" customHeight="1" x14ac:dyDescent="0.2">
      <c r="A7"/>
      <c r="D7" s="42" t="s">
        <v>96</v>
      </c>
      <c r="E7" s="43"/>
      <c r="F7" s="43"/>
      <c r="G7" s="44"/>
    </row>
    <row r="8" spans="1:24" ht="20.100000000000001" customHeight="1" x14ac:dyDescent="0.2">
      <c r="A8" s="7" t="s">
        <v>0</v>
      </c>
      <c r="D8" s="45" t="s">
        <v>97</v>
      </c>
      <c r="E8" s="46"/>
      <c r="F8" s="46"/>
      <c r="G8" s="47"/>
    </row>
    <row r="9" spans="1:24" ht="20.100000000000001" customHeight="1" x14ac:dyDescent="0.2">
      <c r="A9" s="5" t="str">
        <f>HYPERLINK("#'Input - Enterprise'!A1", "Enterprise")</f>
        <v>Enterprise</v>
      </c>
      <c r="D9" s="1"/>
      <c r="E9" s="48"/>
      <c r="F9" s="16"/>
      <c r="N9" s="34"/>
    </row>
    <row r="10" spans="1:24" ht="20.100000000000001" customHeight="1" x14ac:dyDescent="0.2">
      <c r="A10" s="100" t="str">
        <f>HYPERLINK("#'Input - Site'!A1", "Site")</f>
        <v>Site</v>
      </c>
      <c r="D10" s="1" t="s">
        <v>98</v>
      </c>
      <c r="E10" s="13" t="s">
        <v>99</v>
      </c>
      <c r="F10" s="16" t="s">
        <v>100</v>
      </c>
      <c r="N10" s="34"/>
    </row>
    <row r="11" spans="1:24" ht="20.100000000000001" customHeight="1" x14ac:dyDescent="0.2">
      <c r="A11" s="5" t="str">
        <f>HYPERLINK("#'Input - Poultry'!A1", "Poultry")</f>
        <v>Poultry</v>
      </c>
      <c r="D11" s="1" t="s">
        <v>101</v>
      </c>
      <c r="E11" s="13" t="s">
        <v>102</v>
      </c>
      <c r="F11" s="16" t="s">
        <v>100</v>
      </c>
      <c r="G11" s="1"/>
      <c r="N11" s="39"/>
    </row>
    <row r="12" spans="1:24" ht="20.100000000000001" customHeight="1" x14ac:dyDescent="0.2">
      <c r="A12" s="5" t="str">
        <f>HYPERLINK("#'Input - Livestock sales'!A1", "Livestock sales")</f>
        <v>Livestock sales</v>
      </c>
      <c r="D12" s="1" t="s">
        <v>103</v>
      </c>
      <c r="E12" s="13" t="s">
        <v>104</v>
      </c>
      <c r="F12" s="16" t="s">
        <v>100</v>
      </c>
    </row>
    <row r="13" spans="1:24" ht="20.100000000000001" customHeight="1" x14ac:dyDescent="0.2">
      <c r="A13" s="5" t="str">
        <f>HYPERLINK("#'Input - Poultry purchases'!A1", "Poultry purchases")</f>
        <v>Poultry purchases</v>
      </c>
      <c r="D13" s="1" t="s">
        <v>36</v>
      </c>
      <c r="E13" s="33">
        <v>307.7</v>
      </c>
      <c r="F13" s="16" t="s">
        <v>105</v>
      </c>
      <c r="N13" s="41"/>
      <c r="O13" s="41"/>
    </row>
    <row r="14" spans="1:24" ht="20.100000000000001" customHeight="1" x14ac:dyDescent="0.2">
      <c r="A14" s="5" t="str">
        <f>HYPERLINK("#'Input - Fuel'!A1", "Fuel")</f>
        <v>Fuel</v>
      </c>
      <c r="D14" s="1" t="s">
        <v>106</v>
      </c>
      <c r="E14" s="33">
        <v>18</v>
      </c>
      <c r="F14" s="16" t="s">
        <v>107</v>
      </c>
      <c r="N14" s="41"/>
      <c r="O14" s="41"/>
    </row>
    <row r="15" spans="1:24" ht="20.100000000000001" customHeight="1" x14ac:dyDescent="0.2">
      <c r="A15" s="5" t="str">
        <f>HYPERLINK("#'Input - Electricity'!A1", "Electricity")</f>
        <v>Electricity</v>
      </c>
      <c r="D15" s="1" t="s">
        <v>108</v>
      </c>
      <c r="E15" s="33">
        <v>601</v>
      </c>
      <c r="F15" s="16" t="s">
        <v>109</v>
      </c>
      <c r="N15" s="41"/>
      <c r="O15" s="41"/>
    </row>
    <row r="16" spans="1:24" ht="20.100000000000001" customHeight="1" x14ac:dyDescent="0.2">
      <c r="A16" s="5" t="str">
        <f>HYPERLINK("#'Input - Common farm inputs'!A1", "Common farm inputs")</f>
        <v>Common farm inputs</v>
      </c>
      <c r="D16" s="12" t="s">
        <v>110</v>
      </c>
      <c r="E16" s="33">
        <v>1326</v>
      </c>
      <c r="F16" s="16" t="s">
        <v>109</v>
      </c>
      <c r="N16" s="41"/>
      <c r="O16" s="41"/>
    </row>
    <row r="17" spans="1:25" ht="20.100000000000001" customHeight="1" x14ac:dyDescent="0.2">
      <c r="A17" s="5" t="str">
        <f>HYPERLINK("#'Input - Livestock farm Inputs'!A1", "Livestock farm Inputs")</f>
        <v>Livestock farm Inputs</v>
      </c>
      <c r="D17" s="1" t="s">
        <v>111</v>
      </c>
      <c r="E17" s="33">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
      <c r="A20" s="5" t="str">
        <f>HYPERLINK("#'Input - Manure sent off-site'!A1", "Manure sent off-site")</f>
        <v>Manure sent off-site</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
      <c r="A21" s="5" t="str">
        <f>HYPERLINK("#'Input - Data quality'!A1", "Data quality")</f>
        <v>Data quality</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
      <c r="A22" s="5" t="str">
        <f>HYPERLINK("#'Input - Fert Prod System'!A1", "Fert Prod System")</f>
        <v>Fert Prod System</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
      <c r="A23" s="5" t="str">
        <f>HYPERLINK("#'Input - Fertiliser'!A1", "Fertiliser")</f>
        <v>Fertiliser</v>
      </c>
    </row>
    <row r="24" spans="1:25" ht="20.100000000000001" customHeight="1" x14ac:dyDescent="0.2">
      <c r="A24"/>
    </row>
    <row r="25" spans="1:25" ht="20.100000000000001" customHeight="1" x14ac:dyDescent="0.2">
      <c r="A25"/>
      <c r="N25" s="32"/>
    </row>
    <row r="26" spans="1:25" ht="20.100000000000001" customHeight="1" x14ac:dyDescent="0.2">
      <c r="A26" s="6" t="s">
        <v>2</v>
      </c>
    </row>
    <row r="27" spans="1:25" ht="20.100000000000001" customHeight="1" x14ac:dyDescent="0.2">
      <c r="A27" s="5" t="str">
        <f>HYPERLINK("#'4.6.1.1-2 Methane'!A1", "4.6.1.1-2 Manure Methane")</f>
        <v>4.6.1.1-2 Manure Methane</v>
      </c>
    </row>
    <row r="28" spans="1:25" ht="20.100000000000001" customHeight="1" x14ac:dyDescent="0.2">
      <c r="A28" s="5" t="str">
        <f>HYPERLINK("#'4.6.1.3-4 Direct N20'!A1", "4.6.1.3-4 Manure Direct N2O")</f>
        <v>4.6.1.3-4 Manure Direct N2O</v>
      </c>
    </row>
    <row r="29" spans="1:25" ht="20.100000000000001" customHeight="1" x14ac:dyDescent="0.2">
      <c r="A29" s="5" t="str">
        <f>HYPERLINK("#'4.6.1.5-6 Atmos Dep'!A1", "4.6.1.5-6 Manure Atmos Dep")</f>
        <v>4.6.1.5-6 Manure Atmos Dep</v>
      </c>
    </row>
    <row r="30" spans="1:25" ht="20.100000000000001" customHeight="1" x14ac:dyDescent="0.2">
      <c r="A30" s="5" t="str">
        <f>HYPERLINK("#'4.6.1.7-8 Leaching and runoff'!A1", "4.6.1.7-8 Manure Leaching and runoff")</f>
        <v>4.6.1.7-8 Manure Leaching and runoff</v>
      </c>
      <c r="L30" s="50"/>
      <c r="M30" s="50"/>
      <c r="N30" s="50"/>
      <c r="O30" s="50"/>
      <c r="P30" s="50"/>
      <c r="Q30" s="50"/>
      <c r="R30" s="50"/>
      <c r="S30" s="50"/>
      <c r="T30" s="50"/>
      <c r="U30" s="50"/>
      <c r="V30" s="50"/>
      <c r="W30" s="50"/>
      <c r="X30" s="50"/>
      <c r="Y30" s="50"/>
    </row>
    <row r="31" spans="1:25" ht="20.100000000000001" customHeight="1" x14ac:dyDescent="0.2">
      <c r="A31" s="5" t="str">
        <f>HYPERLINK("#'4.6.1.9 Manure applied to soils'!A1", "4.6.1.9 Manure applied to soils")</f>
        <v>4.6.1.9 Manure applied to soils</v>
      </c>
      <c r="L31" s="51"/>
      <c r="M31" s="51"/>
      <c r="N31" s="51"/>
      <c r="O31" s="51"/>
      <c r="P31" s="51"/>
      <c r="Q31" s="51"/>
      <c r="R31" s="51"/>
      <c r="S31" s="51"/>
      <c r="T31" s="51"/>
      <c r="U31" s="51"/>
      <c r="V31" s="51"/>
      <c r="W31" s="51"/>
      <c r="X31" s="51"/>
      <c r="Y31" s="51"/>
    </row>
    <row r="32" spans="1:25" ht="20.100000000000001" customHeight="1" x14ac:dyDescent="0.2">
      <c r="A32" s="5" t="str">
        <f>HYPERLINK("#'4.6.1.10-11 Soil direct N2O'!A1", "4.6.1.10-11 Soil direct N2O")</f>
        <v>4.6.1.10-11 Soil direct N2O</v>
      </c>
      <c r="L32" s="51"/>
      <c r="M32" s="51"/>
      <c r="N32" s="51"/>
      <c r="O32" s="51"/>
      <c r="P32" s="51"/>
      <c r="Q32" s="51"/>
      <c r="R32" s="51"/>
      <c r="S32" s="51"/>
      <c r="T32" s="51"/>
      <c r="U32" s="51"/>
      <c r="V32" s="51"/>
      <c r="W32" s="51"/>
      <c r="X32" s="51"/>
      <c r="Y32" s="51"/>
    </row>
    <row r="33" spans="1:25" ht="20.100000000000001" customHeight="1" x14ac:dyDescent="0.2">
      <c r="A33" s="5" t="str">
        <f>HYPERLINK("#'4.6.1.12-13 Soil atmos dep'!A1", "4.6.1.12-13 Soil atmos dep")</f>
        <v>4.6.1.12-13 Soil atmos dep</v>
      </c>
      <c r="L33" s="51"/>
      <c r="M33" s="51"/>
      <c r="N33" s="51"/>
      <c r="O33" s="51"/>
      <c r="P33" s="51"/>
      <c r="Q33" s="51"/>
      <c r="R33" s="51"/>
      <c r="S33" s="51"/>
      <c r="T33" s="51"/>
      <c r="U33" s="51"/>
      <c r="V33" s="51"/>
      <c r="W33" s="51"/>
      <c r="X33" s="51"/>
      <c r="Y33" s="51"/>
    </row>
    <row r="34" spans="1:25" ht="20.100000000000001" customHeight="1" x14ac:dyDescent="0.2">
      <c r="A34" s="5" t="str">
        <f>HYPERLINK("#'4.6.1.14-15 Soil leach runoff'!A1", "4.6.1.14-15 Soil leach runoff")</f>
        <v>4.6.1.14-15 Soil leach runoff</v>
      </c>
      <c r="J34" s="53"/>
      <c r="K34" s="54"/>
      <c r="L34" s="51"/>
      <c r="M34" s="51"/>
      <c r="N34" s="51"/>
      <c r="O34" s="51"/>
      <c r="P34" s="51"/>
      <c r="Q34" s="51"/>
      <c r="R34" s="51"/>
      <c r="S34" s="51"/>
      <c r="T34" s="51"/>
      <c r="U34" s="51"/>
      <c r="V34" s="51"/>
      <c r="W34" s="51"/>
      <c r="X34" s="51"/>
      <c r="Y34" s="51"/>
    </row>
    <row r="35" spans="1:25" ht="20.100000000000001" customHeight="1" x14ac:dyDescent="0.2">
      <c r="A35" s="5" t="str">
        <f>HYPERLINK("#'8.1.1.1-2 Transport fuel'!A1", "8.1.1.1-2 Transport fuel")</f>
        <v>8.1.1.1-2 Transport fuel</v>
      </c>
      <c r="J35" s="53"/>
      <c r="K35" s="54"/>
      <c r="L35" s="51"/>
      <c r="M35" s="51"/>
      <c r="N35" s="51"/>
      <c r="O35" s="51"/>
      <c r="P35" s="51"/>
      <c r="Q35" s="51"/>
      <c r="R35" s="51"/>
      <c r="S35" s="51"/>
      <c r="T35" s="51"/>
      <c r="U35" s="51"/>
      <c r="V35" s="51"/>
      <c r="W35" s="51"/>
      <c r="X35" s="51"/>
      <c r="Y35" s="51"/>
    </row>
    <row r="36" spans="1:25" ht="20.100000000000001" customHeight="1" x14ac:dyDescent="0.2">
      <c r="A36" s="5" t="str">
        <f>HYPERLINK("#'8.2.1.1-2 Stationary fuel'!A1", "8.2.1.1-2 Stationary fuel")</f>
        <v>8.2.1.1-2 Stationary fuel</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
      <c r="A37" s="5" t="str">
        <f>HYPERLINK("#'10.1.1-2 Solid waste treatment'!A1", "10.1.1.1-2 Solid waste")</f>
        <v>10.1.1.1-2 Solid waste</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
      <c r="A38" s="5" t="str">
        <f>HYPERLINK("#'14.1.1-2 Purchased electricity'!A1", "14.1.1-2 Purchased electricity")</f>
        <v>14.1.1-2 Purchased electricity</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
      <c r="A39" s="5" t="str">
        <f>HYPERLINK("#'15 Scope 3'!A1", "15 Scope 3")</f>
        <v>15 Scope 3</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
      <c r="A40" s="5" t="str">
        <f>HYPERLINK("#'Calcs - Manure sent off-site'!A1", "Calcs - Manure sent off-site")</f>
        <v>Calcs - Manure sent off-site</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
      <c r="A41" s="5" t="str">
        <f>HYPERLINK("#'5.1.1.1-2 Inorganic fert N2O'!A1", "5.1.1.1-2 Inorganic fert N2O")</f>
        <v>5.1.1.1-2 Inorganic fert N2O</v>
      </c>
    </row>
    <row r="42" spans="1:25" ht="20.100000000000001" customHeight="1" x14ac:dyDescent="0.2">
      <c r="A42" s="5" t="str">
        <f>HYPERLINK("#'5.1.1.3-4 Inorganic fert CO2'!A1", "5.1.1.3-4 Inorganic fert CO2")</f>
        <v>5.1.1.3-4 Inorganic fert CO2</v>
      </c>
    </row>
    <row r="43" spans="1:25" ht="20.100000000000001" customHeight="1" x14ac:dyDescent="0.2">
      <c r="A43" s="5" t="str">
        <f>HYPERLINK("#'5.2.1.1-2 Organic Fert N2O'!A1", "5.2.1.1-2 Organic Fert N2O")</f>
        <v>5.2.1.1-2 Organic Fert N2O</v>
      </c>
    </row>
    <row r="44" spans="1:25" ht="20.100000000000001" customHeight="1" x14ac:dyDescent="0.2">
      <c r="A44" s="5" t="str">
        <f>HYPERLINK("#'5.3.1.1-2 Lime CO2'!A1", "5.3.1.1-2 Lime CO2")</f>
        <v>5.3.1.1-2 Lime CO2</v>
      </c>
    </row>
    <row r="45" spans="1:25" ht="20.100000000000001" customHeight="1" x14ac:dyDescent="0.2">
      <c r="A45" s="5" t="str">
        <f>HYPERLINK("#'5.4.1.1-4 Atmos deposition'!A1", "5.4.1.1-4 Atmos deposition")</f>
        <v>5.4.1.1-4 Atmos deposition</v>
      </c>
      <c r="D45" s="2"/>
    </row>
    <row r="46" spans="1:25" ht="20.100000000000001" customHeight="1" x14ac:dyDescent="0.2">
      <c r="A46" s="5" t="str">
        <f>HYPERLINK("#'5.5.1.1-2 Leaching and runoff'!A1", "5.5.1.1-2 Leaching and runoff")</f>
        <v>5.5.1.1-2 Leaching and runoff</v>
      </c>
      <c r="D46" s="2"/>
    </row>
    <row r="47" spans="1:25" ht="20.100000000000001" customHeight="1" x14ac:dyDescent="0.2">
      <c r="A47"/>
      <c r="D47" s="62"/>
      <c r="E47" s="62"/>
      <c r="F47" s="62"/>
      <c r="G47" s="62"/>
      <c r="H47" s="62"/>
    </row>
    <row r="48" spans="1:25" ht="20.100000000000001" customHeight="1" x14ac:dyDescent="0.2">
      <c r="A48"/>
      <c r="D48" s="63"/>
      <c r="E48" s="63"/>
      <c r="F48" s="64"/>
      <c r="G48" s="64"/>
      <c r="H48" s="63"/>
    </row>
    <row r="49" spans="1:8" ht="20.100000000000001" customHeight="1" x14ac:dyDescent="0.2">
      <c r="A49" s="80" t="s">
        <v>1</v>
      </c>
      <c r="D49" s="63"/>
      <c r="E49" s="63"/>
      <c r="F49" s="64"/>
      <c r="G49" s="64"/>
      <c r="H49" s="63"/>
    </row>
    <row r="50" spans="1:8" ht="20.100000000000001" customHeight="1" x14ac:dyDescent="0.2">
      <c r="A50" s="5" t="str">
        <f>HYPERLINK("#'Constants - Poultry'!A1", "Constants - Poultry")</f>
        <v>Constants - Poultry</v>
      </c>
      <c r="D50" s="63"/>
      <c r="E50" s="63"/>
      <c r="F50" s="64"/>
      <c r="G50" s="64"/>
      <c r="H50" s="63"/>
    </row>
    <row r="51" spans="1:8" ht="20.100000000000001" customHeight="1" x14ac:dyDescent="0.2">
      <c r="A51" s="5" t="str">
        <f>HYPERLINK("#'Constants - Common livestock'!A1", "Constants - Common Livestock")</f>
        <v>Constants - Common Livestock</v>
      </c>
      <c r="D51" s="65"/>
      <c r="E51" s="66"/>
      <c r="F51" s="66"/>
      <c r="G51" s="66"/>
      <c r="H51" s="67"/>
    </row>
    <row r="52" spans="1:8" ht="20.100000000000001" customHeight="1" x14ac:dyDescent="0.2">
      <c r="A52" s="5" t="str">
        <f>HYPERLINK("#'Constants - Electricity'!A1", "Constants - Electricity")</f>
        <v>Constants - Electricity</v>
      </c>
    </row>
    <row r="53" spans="1:8" ht="20.100000000000001" customHeight="1" x14ac:dyDescent="0.2">
      <c r="A53" s="5" t="str">
        <f>HYPERLINK("#'Constants - Fertiliser'!A1", "Constants - Fertiliser")</f>
        <v>Constants - Fertiliser</v>
      </c>
    </row>
    <row r="54" spans="1:8" ht="20.100000000000001" customHeight="1" x14ac:dyDescent="0.2">
      <c r="A54" s="5" t="str">
        <f>HYPERLINK("#'Constants - Fuel'!A1", "Constants - Fuel")</f>
        <v>Constants - Fuel</v>
      </c>
      <c r="G54" s="68"/>
    </row>
    <row r="55" spans="1:8" ht="20.100000000000001" customHeight="1" x14ac:dyDescent="0.2">
      <c r="A55" s="5" t="str">
        <f>HYPERLINK("#'Constants - Scope 3'!A1", "Constants - Scope 3")</f>
        <v>Constants - Scope 3</v>
      </c>
      <c r="D55" s="2"/>
    </row>
    <row r="56" spans="1:8" ht="20.100000000000001" customHeight="1" x14ac:dyDescent="0.2">
      <c r="A56" s="5" t="str">
        <f>HYPERLINK("#'Constants - Solid Waste'!A1", "Constants - Solid Waste")</f>
        <v>Constants - Solid Waste</v>
      </c>
    </row>
    <row r="57" spans="1:8" ht="20.100000000000001" customHeight="1" x14ac:dyDescent="0.2">
      <c r="A57" s="5" t="str">
        <f>HYPERLINK("#'Constants - Common'!A1", "Constants - Common")</f>
        <v>Constants - Common</v>
      </c>
      <c r="F57" s="69"/>
    </row>
    <row r="58" spans="1:8" ht="20.100000000000001" customHeight="1" x14ac:dyDescent="0.2">
      <c r="A58"/>
      <c r="E58" s="70"/>
    </row>
    <row r="59" spans="1:8" ht="20.100000000000001" customHeight="1" x14ac:dyDescent="0.2">
      <c r="A59"/>
      <c r="E59" s="70"/>
    </row>
    <row r="60" spans="1:8" ht="20.100000000000001" customHeight="1" x14ac:dyDescent="0.2">
      <c r="A60"/>
      <c r="E60" s="71"/>
    </row>
    <row r="61" spans="1:8" ht="20.100000000000001" customHeight="1" x14ac:dyDescent="0.2">
      <c r="A61"/>
    </row>
    <row r="62" spans="1:8" ht="20.100000000000001" customHeight="1" x14ac:dyDescent="0.2">
      <c r="A62"/>
    </row>
    <row r="63" spans="1:8" ht="20.100000000000001" customHeight="1" x14ac:dyDescent="0.2">
      <c r="A63"/>
    </row>
    <row r="64" spans="1:8" ht="20.100000000000001" customHeight="1" x14ac:dyDescent="0.2">
      <c r="A64"/>
      <c r="D64" s="1"/>
      <c r="E64" s="70"/>
    </row>
    <row r="65" spans="1:9" ht="20.100000000000001" customHeight="1" x14ac:dyDescent="0.2">
      <c r="A65"/>
      <c r="D65" s="1"/>
      <c r="E65" s="70"/>
    </row>
    <row r="66" spans="1:9" ht="20.100000000000001" customHeight="1" x14ac:dyDescent="0.2">
      <c r="A66"/>
      <c r="D66" s="1"/>
      <c r="E66" s="71"/>
    </row>
    <row r="67" spans="1:9" ht="20.100000000000001" customHeight="1" x14ac:dyDescent="0.2">
      <c r="A67"/>
    </row>
    <row r="68" spans="1:9" ht="20.100000000000001" customHeight="1" x14ac:dyDescent="0.2">
      <c r="A68"/>
    </row>
    <row r="69" spans="1:9" ht="20.100000000000001" customHeight="1" x14ac:dyDescent="0.2">
      <c r="A69"/>
      <c r="D69" s="72"/>
      <c r="E69" s="72"/>
      <c r="F69" s="72"/>
      <c r="G69" s="72"/>
      <c r="H69" s="72"/>
      <c r="I69" s="72"/>
    </row>
    <row r="70" spans="1:9" ht="20.100000000000001" customHeight="1" x14ac:dyDescent="0.2">
      <c r="A70"/>
      <c r="D70" s="72"/>
      <c r="E70" s="72"/>
      <c r="F70" s="72"/>
      <c r="G70" s="72"/>
      <c r="H70" s="72"/>
      <c r="I70" s="72"/>
    </row>
    <row r="71" spans="1:9" ht="20.100000000000001" customHeight="1" x14ac:dyDescent="0.2">
      <c r="A71"/>
      <c r="D71" s="72"/>
      <c r="E71" s="72"/>
      <c r="F71" s="72"/>
      <c r="G71" s="72"/>
      <c r="H71" s="72"/>
      <c r="I71" s="72"/>
    </row>
    <row r="72" spans="1:9" ht="20.100000000000001" customHeight="1" x14ac:dyDescent="0.2">
      <c r="A72"/>
      <c r="D72" s="72"/>
      <c r="E72" s="72"/>
      <c r="F72" s="72"/>
      <c r="G72" s="72"/>
      <c r="H72" s="72"/>
      <c r="I72" s="72"/>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3"/>
    </row>
    <row r="79" spans="1:9" ht="20.100000000000001" customHeight="1" x14ac:dyDescent="0.2">
      <c r="A79"/>
      <c r="D79" s="73"/>
    </row>
    <row r="80" spans="1:9" ht="20.100000000000001" customHeight="1" x14ac:dyDescent="0.2">
      <c r="A80"/>
      <c r="D80" s="73"/>
    </row>
    <row r="81" spans="1:4" ht="20.100000000000001" customHeight="1" x14ac:dyDescent="0.2">
      <c r="A81"/>
      <c r="D81" s="73"/>
    </row>
    <row r="82" spans="1:4" ht="20.100000000000001" customHeight="1" x14ac:dyDescent="0.2">
      <c r="A82"/>
      <c r="D82" s="73"/>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140DA-6C26-4D9D-81D3-1B57C649B415}">
  <sheetPr>
    <tabColor theme="5" tint="-0.249977111117893"/>
  </sheetPr>
  <dimension ref="A1:W356"/>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98" customWidth="1"/>
    <col min="17" max="22" width="30.7109375" style="98" customWidth="1"/>
    <col min="23" max="23" width="4.7109375" style="98" customWidth="1"/>
  </cols>
  <sheetData>
    <row r="1" spans="1:23" s="10" customFormat="1" ht="30" customHeight="1" x14ac:dyDescent="0.35">
      <c r="A1" s="10" t="e" vm="1">
        <v>#VALUE!</v>
      </c>
      <c r="C1" s="10" t="s">
        <v>295</v>
      </c>
      <c r="O1" s="98"/>
      <c r="P1" s="98"/>
      <c r="Q1" s="98"/>
      <c r="R1" s="98"/>
      <c r="S1" s="98"/>
      <c r="T1" s="98"/>
      <c r="U1" s="98"/>
      <c r="V1" s="98"/>
      <c r="W1" s="98"/>
    </row>
    <row r="2" spans="1:23" s="3" customFormat="1" ht="20.100000000000001" customHeight="1" x14ac:dyDescent="0.2">
      <c r="A2"/>
      <c r="O2" s="98"/>
      <c r="P2" s="98"/>
      <c r="Q2" s="98"/>
      <c r="R2" s="98"/>
      <c r="S2" s="98"/>
      <c r="T2" s="98"/>
      <c r="U2" s="98"/>
      <c r="V2" s="98"/>
      <c r="W2" s="98"/>
    </row>
    <row r="3" spans="1:23" ht="20.100000000000001" customHeight="1" x14ac:dyDescent="0.2">
      <c r="A3" s="5" t="str">
        <f>HYPERLINK("#'Home'!A1", "Home")</f>
        <v>Home</v>
      </c>
      <c r="C3" s="28"/>
      <c r="D3" s="28"/>
      <c r="E3" s="28"/>
      <c r="F3" s="28"/>
      <c r="G3" s="28"/>
      <c r="H3" s="28"/>
      <c r="I3" s="28"/>
      <c r="J3" s="28"/>
      <c r="K3" s="28"/>
      <c r="L3" s="28"/>
      <c r="M3" s="28"/>
      <c r="N3" s="28"/>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42" t="s">
        <v>296</v>
      </c>
      <c r="E5" s="43"/>
      <c r="F5" s="43"/>
      <c r="G5" s="43"/>
      <c r="H5" s="44"/>
      <c r="N5" s="24"/>
      <c r="R5" s="21"/>
    </row>
    <row r="6" spans="1:23" ht="20.100000000000001" customHeight="1" x14ac:dyDescent="0.2">
      <c r="D6" s="45"/>
      <c r="E6" s="46"/>
      <c r="F6" s="46"/>
      <c r="G6" s="46"/>
      <c r="H6" s="47"/>
      <c r="N6" s="24"/>
      <c r="R6" s="21"/>
    </row>
    <row r="7" spans="1:23" ht="20.100000000000001" customHeight="1" x14ac:dyDescent="0.2">
      <c r="N7" s="24"/>
      <c r="R7" s="21"/>
    </row>
    <row r="8" spans="1:23" ht="20.100000000000001" customHeight="1" x14ac:dyDescent="0.2">
      <c r="A8" s="7" t="s">
        <v>0</v>
      </c>
      <c r="N8" s="24"/>
      <c r="R8" s="21"/>
    </row>
    <row r="9" spans="1:23" ht="20.100000000000001" customHeight="1" x14ac:dyDescent="0.2">
      <c r="A9" s="5" t="str">
        <f>HYPERLINK("#'Input - Enterprise'!A1", "Enterprise")</f>
        <v>Enterprise</v>
      </c>
      <c r="E9" s="99" t="s">
        <v>297</v>
      </c>
      <c r="F9" s="99" t="s">
        <v>298</v>
      </c>
      <c r="G9" s="99" t="s">
        <v>299</v>
      </c>
      <c r="H9" s="99" t="s">
        <v>300</v>
      </c>
      <c r="R9" s="21"/>
    </row>
    <row r="10" spans="1:23" ht="20.100000000000001" customHeight="1" x14ac:dyDescent="0.2">
      <c r="A10" s="5" t="str">
        <f>HYPERLINK("#'Input - Site'!A1", "Site")</f>
        <v>Site</v>
      </c>
      <c r="D10" s="1" t="str">
        <f>"Average duration of stay between " &amp; TEXT(X_Cell_Site_StartDate, "dd mmm yy") &amp; " and " &amp; TEXT(X_Cell_Site_EndDate, "dd mmm yy")</f>
        <v>Average duration of stay between 01 Jan 25 and 31 Dec 25</v>
      </c>
      <c r="E10" s="74">
        <v>365</v>
      </c>
      <c r="F10" s="74">
        <v>365</v>
      </c>
      <c r="G10" s="74">
        <v>365</v>
      </c>
      <c r="H10" s="74">
        <v>365</v>
      </c>
      <c r="I10" s="16" t="s">
        <v>112</v>
      </c>
      <c r="J10" s="16"/>
      <c r="R10" s="21"/>
    </row>
    <row r="11" spans="1:23" ht="20.100000000000001" customHeight="1" x14ac:dyDescent="0.2">
      <c r="A11" s="100" t="str">
        <f>HYPERLINK("#'Input - Poultry'!A1", "Poultry")</f>
        <v>Poultry</v>
      </c>
      <c r="D11" s="1" t="str">
        <f>"Average number of birds between " &amp; TEXT(X_Cell_Site_StartDate, "dd mmm yy") &amp; " and " &amp; TEXT(X_Cell_Site_EndDate, "dd mmm yy")</f>
        <v>Average number of birds between 01 Jan 25 and 31 Dec 25</v>
      </c>
      <c r="E11" s="74">
        <v>100</v>
      </c>
      <c r="F11" s="74">
        <v>100</v>
      </c>
      <c r="G11" s="74">
        <v>100</v>
      </c>
      <c r="H11" s="74">
        <v>100</v>
      </c>
      <c r="I11" s="16" t="s">
        <v>301</v>
      </c>
      <c r="J11" s="16"/>
      <c r="R11" s="21"/>
    </row>
    <row r="12" spans="1:23" ht="20.100000000000001" customHeight="1" x14ac:dyDescent="0.2">
      <c r="A12" s="5" t="str">
        <f>HYPERLINK("#'Input - Livestock sales'!A1", "Livestock sales")</f>
        <v>Livestock sales</v>
      </c>
      <c r="R12" s="21"/>
    </row>
    <row r="13" spans="1:23" ht="20.100000000000001" customHeight="1" x14ac:dyDescent="0.2">
      <c r="A13" s="5" t="str">
        <f>HYPERLINK("#'Input - Poultry purchases'!A1", "Poultry purchases")</f>
        <v>Poultry purchases</v>
      </c>
      <c r="D13" s="2" t="s">
        <v>302</v>
      </c>
      <c r="R13" s="41"/>
    </row>
    <row r="14" spans="1:23" ht="20.100000000000001" customHeight="1" x14ac:dyDescent="0.2">
      <c r="A14" s="5" t="str">
        <f>HYPERLINK("#'Input - Fuel'!A1", "Fuel")</f>
        <v>Fuel</v>
      </c>
      <c r="R14" s="41"/>
    </row>
    <row r="15" spans="1:23" ht="20.100000000000001" customHeight="1" x14ac:dyDescent="0.2">
      <c r="A15" s="5" t="str">
        <f>HYPERLINK("#'Input - Electricity'!A1", "Electricity")</f>
        <v>Electricity</v>
      </c>
      <c r="D15" s="101" t="s">
        <v>303</v>
      </c>
      <c r="E15" s="99" t="s">
        <v>297</v>
      </c>
      <c r="F15" s="99" t="s">
        <v>298</v>
      </c>
      <c r="G15" s="99" t="s">
        <v>299</v>
      </c>
      <c r="H15" s="99" t="s">
        <v>300</v>
      </c>
      <c r="R15" s="41"/>
    </row>
    <row r="16" spans="1:23" ht="20.100000000000001" customHeight="1" x14ac:dyDescent="0.2">
      <c r="A16" s="5" t="str">
        <f>HYPERLINK("#'Input - Common farm inputs'!A1", "Common farm inputs")</f>
        <v>Common farm inputs</v>
      </c>
      <c r="D16" s="1" t="s">
        <v>304</v>
      </c>
      <c r="E16" s="15">
        <f>'Constants - Poultry'!E9</f>
        <v>8.5999999999999993E-2</v>
      </c>
      <c r="F16" s="15">
        <f>'Constants - Poultry'!F9</f>
        <v>9.2999999999999999E-2</v>
      </c>
      <c r="G16" s="15">
        <f>'Constants - Poultry'!G9</f>
        <v>0.10299999999999999</v>
      </c>
      <c r="H16" s="15">
        <f>'Constants - Poultry'!H9</f>
        <v>9.2999999999999999E-2</v>
      </c>
      <c r="I16" s="16" t="s">
        <v>305</v>
      </c>
      <c r="J16" s="16"/>
      <c r="R16" s="41"/>
    </row>
    <row r="17" spans="1:18" ht="20.100000000000001" customHeight="1" x14ac:dyDescent="0.2">
      <c r="A17" s="5" t="str">
        <f>HYPERLINK("#'Input - Livestock farm Inputs'!A1", "Livestock farm Inputs")</f>
        <v>Livestock farm Inputs</v>
      </c>
      <c r="D17" s="1" t="s">
        <v>306</v>
      </c>
      <c r="E17" s="15">
        <f>'Constants - Poultry'!E10</f>
        <v>0.8</v>
      </c>
      <c r="F17" s="15">
        <f>'Constants - Poultry'!F10</f>
        <v>0.8</v>
      </c>
      <c r="G17" s="15">
        <f>'Constants - Poultry'!G10</f>
        <v>0.8</v>
      </c>
      <c r="H17" s="15">
        <f>'Constants - Poultry'!H10</f>
        <v>0.8</v>
      </c>
      <c r="I17" s="16" t="s">
        <v>307</v>
      </c>
      <c r="J17" s="16"/>
      <c r="R17" s="21"/>
    </row>
    <row r="18" spans="1:18" ht="20.100000000000001" customHeight="1" x14ac:dyDescent="0.2">
      <c r="A18" s="5" t="str">
        <f>HYPERLINK("#'Input - Freight'!A1", "Freight")</f>
        <v>Freight</v>
      </c>
      <c r="D18" s="1" t="s">
        <v>308</v>
      </c>
      <c r="E18" s="15">
        <f>'Constants - Poultry'!E11</f>
        <v>0.19</v>
      </c>
      <c r="F18" s="15">
        <f>'Constants - Poultry'!F11</f>
        <v>0.23</v>
      </c>
      <c r="G18" s="15">
        <f>'Constants - Poultry'!G11</f>
        <v>0.19</v>
      </c>
      <c r="H18" s="15">
        <f>'Constants - Poultry'!H11</f>
        <v>0.23</v>
      </c>
      <c r="I18" s="16" t="s">
        <v>307</v>
      </c>
      <c r="J18" s="16"/>
      <c r="K18" s="16"/>
      <c r="R18" s="21"/>
    </row>
    <row r="19" spans="1:18" ht="20.100000000000001" customHeight="1" x14ac:dyDescent="0.2">
      <c r="A19" s="5" t="str">
        <f>HYPERLINK("#'Input - Solid waste'!A1", "Solid waste")</f>
        <v>Solid waste</v>
      </c>
      <c r="R19" s="21"/>
    </row>
    <row r="20" spans="1:18" ht="20.100000000000001" customHeight="1" x14ac:dyDescent="0.2">
      <c r="A20" s="5" t="str">
        <f>HYPERLINK("#'Input - Manure sent off-site'!A1", "Manure sent off-site")</f>
        <v>Manure sent off-site</v>
      </c>
      <c r="D20" s="101" t="s">
        <v>309</v>
      </c>
      <c r="E20" s="99" t="s">
        <v>297</v>
      </c>
      <c r="F20" s="99" t="s">
        <v>298</v>
      </c>
      <c r="G20" s="99" t="s">
        <v>299</v>
      </c>
      <c r="H20" s="99" t="s">
        <v>300</v>
      </c>
      <c r="R20" s="21"/>
    </row>
    <row r="21" spans="1:18" ht="20.100000000000001" customHeight="1" x14ac:dyDescent="0.2">
      <c r="A21" s="5" t="str">
        <f>HYPERLINK("#'Input - Data quality'!A1", "Data quality")</f>
        <v>Data quality</v>
      </c>
      <c r="D21" s="1" t="s">
        <v>304</v>
      </c>
      <c r="E21" s="74">
        <f>'Constants - Poultry'!E9</f>
        <v>8.5999999999999993E-2</v>
      </c>
      <c r="F21" s="74">
        <f>'Constants - Poultry'!F9</f>
        <v>9.2999999999999999E-2</v>
      </c>
      <c r="G21" s="74">
        <f>'Constants - Poultry'!G9</f>
        <v>0.10299999999999999</v>
      </c>
      <c r="H21" s="74">
        <f>'Constants - Poultry'!H9</f>
        <v>9.2999999999999999E-2</v>
      </c>
      <c r="I21" s="16" t="s">
        <v>305</v>
      </c>
      <c r="J21" s="16"/>
      <c r="R21" s="21"/>
    </row>
    <row r="22" spans="1:18" ht="20.100000000000001" customHeight="1" x14ac:dyDescent="0.2">
      <c r="A22" s="5" t="str">
        <f>HYPERLINK("#'Input - Fert Prod System'!A1", "Fert Prod System")</f>
        <v>Fert Prod System</v>
      </c>
      <c r="D22" s="1" t="s">
        <v>306</v>
      </c>
      <c r="E22" s="74">
        <f>'Constants - Poultry'!E10</f>
        <v>0.8</v>
      </c>
      <c r="F22" s="74">
        <f>'Constants - Poultry'!F10</f>
        <v>0.8</v>
      </c>
      <c r="G22" s="74">
        <f>'Constants - Poultry'!G10</f>
        <v>0.8</v>
      </c>
      <c r="H22" s="74">
        <f>'Constants - Poultry'!H10</f>
        <v>0.8</v>
      </c>
      <c r="I22" s="16" t="s">
        <v>307</v>
      </c>
      <c r="J22" s="16"/>
      <c r="R22" s="21"/>
    </row>
    <row r="23" spans="1:18" ht="20.100000000000001" customHeight="1" x14ac:dyDescent="0.2">
      <c r="A23" s="5" t="str">
        <f>HYPERLINK("#'Input - Fertiliser'!A1", "Fertiliser")</f>
        <v>Fertiliser</v>
      </c>
      <c r="D23" s="1" t="s">
        <v>308</v>
      </c>
      <c r="E23" s="74">
        <f>'Constants - Poultry'!E11</f>
        <v>0.19</v>
      </c>
      <c r="F23" s="74">
        <f>'Constants - Poultry'!F11</f>
        <v>0.23</v>
      </c>
      <c r="G23" s="74">
        <f>'Constants - Poultry'!G11</f>
        <v>0.19</v>
      </c>
      <c r="H23" s="74">
        <f>'Constants - Poultry'!H11</f>
        <v>0.23</v>
      </c>
      <c r="I23" s="16" t="s">
        <v>307</v>
      </c>
      <c r="J23" s="16"/>
      <c r="R23" s="21"/>
    </row>
    <row r="24" spans="1:18" ht="20.100000000000001" customHeight="1" x14ac:dyDescent="0.2">
      <c r="R24" s="21"/>
    </row>
    <row r="25" spans="1:18" ht="20.100000000000001" customHeight="1" x14ac:dyDescent="0.2">
      <c r="D25" s="2" t="s">
        <v>310</v>
      </c>
      <c r="R25" s="21"/>
    </row>
    <row r="26" spans="1:18" ht="20.100000000000001" customHeight="1" x14ac:dyDescent="0.2">
      <c r="A26" s="6" t="s">
        <v>2</v>
      </c>
      <c r="R26" s="21"/>
    </row>
    <row r="27" spans="1:18" ht="20.100000000000001" customHeight="1" x14ac:dyDescent="0.2">
      <c r="A27" s="5" t="str">
        <f>HYPERLINK("#'4.6.1.1-2 Methane'!A1", "4.6.1.1-2 Manure Methane")</f>
        <v>4.6.1.1-2 Manure Methane</v>
      </c>
      <c r="D27" s="1" t="s">
        <v>311</v>
      </c>
      <c r="E27" s="13" t="s">
        <v>312</v>
      </c>
      <c r="F27" s="16" t="s">
        <v>100</v>
      </c>
      <c r="G27" s="1" t="s">
        <v>313</v>
      </c>
      <c r="R27" s="21"/>
    </row>
    <row r="28" spans="1:18" ht="20.100000000000001" customHeight="1" x14ac:dyDescent="0.2">
      <c r="A28" s="5" t="str">
        <f>HYPERLINK("#'4.6.1.3-4 Direct N20'!A1", "4.6.1.3-4 Manure Direct N2O")</f>
        <v>4.6.1.3-4 Manure Direct N2O</v>
      </c>
      <c r="R28" s="21"/>
    </row>
    <row r="29" spans="1:18" ht="20.100000000000001" customHeight="1" x14ac:dyDescent="0.2">
      <c r="A29" s="5" t="str">
        <f>HYPERLINK("#'4.6.1.5-6 Atmos Dep'!A1", "4.6.1.5-6 Manure Atmos Dep")</f>
        <v>4.6.1.5-6 Manure Atmos Dep</v>
      </c>
      <c r="D29" s="101" t="s">
        <v>314</v>
      </c>
      <c r="E29" s="99" t="s">
        <v>297</v>
      </c>
      <c r="F29" s="99" t="s">
        <v>298</v>
      </c>
      <c r="G29" s="99" t="s">
        <v>299</v>
      </c>
      <c r="H29" s="99" t="s">
        <v>300</v>
      </c>
      <c r="R29" s="21"/>
    </row>
    <row r="30" spans="1:18" ht="20.100000000000001" customHeight="1" x14ac:dyDescent="0.2">
      <c r="A30" s="5" t="str">
        <f>HYPERLINK("#'4.6.1.7-8 Leaching and runoff'!A1", "4.6.1.7-8 Manure Leaching and runoff")</f>
        <v>4.6.1.7-8 Manure Leaching and runoff</v>
      </c>
      <c r="D30" s="102" t="str">
        <f>'Constants - Poultry'!G29</f>
        <v>Poultry manure with bedding</v>
      </c>
      <c r="E30" s="18">
        <v>0.3</v>
      </c>
      <c r="F30" s="18">
        <v>0.3</v>
      </c>
      <c r="G30" s="18">
        <v>0.3</v>
      </c>
      <c r="H30" s="18">
        <v>0.3</v>
      </c>
      <c r="I30" s="16" t="s">
        <v>315</v>
      </c>
      <c r="J30" s="16"/>
      <c r="R30" s="21"/>
    </row>
    <row r="31" spans="1:18" ht="20.100000000000001" customHeight="1" x14ac:dyDescent="0.2">
      <c r="A31" s="5" t="str">
        <f>HYPERLINK("#'4.6.1.9 Manure applied to soils'!A1", "4.6.1.9 Manure applied to soils")</f>
        <v>4.6.1.9 Manure applied to soils</v>
      </c>
      <c r="D31" s="102" t="str">
        <f>'Constants - Poultry'!G30</f>
        <v>Belt manure removal</v>
      </c>
      <c r="E31" s="18">
        <v>0.3</v>
      </c>
      <c r="F31" s="18">
        <v>0.3</v>
      </c>
      <c r="G31" s="18">
        <v>0.3</v>
      </c>
      <c r="H31" s="18">
        <v>0.3</v>
      </c>
      <c r="I31" s="16" t="s">
        <v>315</v>
      </c>
      <c r="J31" s="16"/>
      <c r="R31" s="21"/>
    </row>
    <row r="32" spans="1:18" ht="20.100000000000001" customHeight="1" x14ac:dyDescent="0.2">
      <c r="A32" s="5" t="str">
        <f>HYPERLINK("#'4.6.1.10-11 Soil direct N2O'!A1", "4.6.1.10-11 Soil direct N2O")</f>
        <v>4.6.1.10-11 Soil direct N2O</v>
      </c>
      <c r="D32" s="102" t="str">
        <f>'Constants - Poultry'!G31</f>
        <v>Manure stored in house</v>
      </c>
      <c r="E32" s="18">
        <v>0.3</v>
      </c>
      <c r="F32" s="18">
        <v>0.3</v>
      </c>
      <c r="G32" s="18">
        <v>0.3</v>
      </c>
      <c r="H32" s="18">
        <v>0.3</v>
      </c>
      <c r="I32" s="16" t="s">
        <v>315</v>
      </c>
      <c r="J32" s="16"/>
      <c r="R32" s="21"/>
    </row>
    <row r="33" spans="1:18" ht="20.100000000000001" customHeight="1" x14ac:dyDescent="0.2">
      <c r="A33" s="5" t="str">
        <f>HYPERLINK("#'4.6.1.12-13 Soil atmos dep'!A1", "4.6.1.12-13 Soil atmos dep")</f>
        <v>4.6.1.12-13 Soil atmos dep</v>
      </c>
      <c r="D33" s="102" t="str">
        <f>'Constants - Poultry'!G32</f>
        <v>Pasture range and paddock</v>
      </c>
      <c r="E33" s="18">
        <v>0.1</v>
      </c>
      <c r="F33" s="18">
        <v>0.1</v>
      </c>
      <c r="G33" s="18">
        <v>0.1</v>
      </c>
      <c r="H33" s="18">
        <v>0.1</v>
      </c>
      <c r="I33" s="16" t="s">
        <v>315</v>
      </c>
      <c r="J33" s="16"/>
      <c r="R33" s="21"/>
    </row>
    <row r="34" spans="1:18" ht="20.100000000000001" customHeight="1" x14ac:dyDescent="0.2">
      <c r="A34" s="5" t="str">
        <f>HYPERLINK("#'4.6.1.14-15 Soil leach runoff'!A1", "4.6.1.14-15 Soil leach runoff")</f>
        <v>4.6.1.14-15 Soil leach runoff</v>
      </c>
      <c r="D34" s="103" t="s">
        <v>316</v>
      </c>
      <c r="E34" s="104">
        <f>SUM(E30,E31,E32,E33)</f>
        <v>0.99999999999999989</v>
      </c>
      <c r="F34" s="104">
        <f>SUM(F30,F31,F32,F33)</f>
        <v>0.99999999999999989</v>
      </c>
      <c r="G34" s="104">
        <f>SUM(G30,G31,G32,G33)</f>
        <v>0.99999999999999989</v>
      </c>
      <c r="H34" s="104">
        <f>SUM(H30,H31,H32,H33)</f>
        <v>0.99999999999999989</v>
      </c>
      <c r="I34" s="16"/>
      <c r="J34" s="16"/>
      <c r="R34" s="21"/>
    </row>
    <row r="35" spans="1:18" ht="20.100000000000001" customHeight="1" x14ac:dyDescent="0.2">
      <c r="A35" s="5" t="str">
        <f>HYPERLINK("#'8.1.1.1-2 Transport fuel'!A1", "8.1.1.1-2 Transport fuel")</f>
        <v>8.1.1.1-2 Transport fuel</v>
      </c>
      <c r="D35" s="105" t="s">
        <v>317</v>
      </c>
      <c r="R35" s="21"/>
    </row>
    <row r="36" spans="1:18" ht="20.100000000000001" customHeight="1" x14ac:dyDescent="0.2">
      <c r="A36" s="5" t="str">
        <f>HYPERLINK("#'8.2.1.1-2 Stationary fuel'!A1", "8.2.1.1-2 Stationary fuel")</f>
        <v>8.2.1.1-2 Stationary fuel</v>
      </c>
      <c r="D36" s="106" t="s">
        <v>318</v>
      </c>
      <c r="E36" s="99" t="s">
        <v>297</v>
      </c>
      <c r="F36" s="99" t="s">
        <v>298</v>
      </c>
      <c r="G36" s="99" t="s">
        <v>299</v>
      </c>
      <c r="H36" s="99" t="s">
        <v>300</v>
      </c>
      <c r="I36" s="107" t="s">
        <v>319</v>
      </c>
      <c r="J36" s="107"/>
      <c r="K36" s="101" t="s">
        <v>320</v>
      </c>
      <c r="L36" s="101"/>
      <c r="M36" s="78"/>
      <c r="R36" s="21"/>
    </row>
    <row r="37" spans="1:18" ht="20.100000000000001" customHeight="1" x14ac:dyDescent="0.2">
      <c r="A37" s="5" t="str">
        <f>HYPERLINK("#'10.1.1-2 Solid waste treatment'!A1", "10.1.1.1-2 Solid waste")</f>
        <v>10.1.1.1-2 Solid waste</v>
      </c>
      <c r="D37" s="108" t="str">
        <f>"From stage 1: " &amp; $D$30</f>
        <v>From stage 1: Poultry manure with bedding</v>
      </c>
      <c r="E37" s="87" t="str">
        <f>IF(SUM(E30:H30)&gt;0,"Manure was sent to this MMS, please complete this section.","No manure was sent to this MMS. Leave this section blank.")</f>
        <v>Manure was sent to this MMS, please complete this section.</v>
      </c>
      <c r="K37" s="109" t="s">
        <v>321</v>
      </c>
      <c r="L37" s="109" t="s">
        <v>322</v>
      </c>
      <c r="M37" s="109" t="s">
        <v>323</v>
      </c>
      <c r="R37" s="21"/>
    </row>
    <row r="38" spans="1:18" ht="20.100000000000001" customHeight="1" x14ac:dyDescent="0.2">
      <c r="A38" s="5" t="str">
        <f>HYPERLINK("#'14.1.1-2 Purchased electricity'!A1", "14.1.1-2 Purchased electricity")</f>
        <v>14.1.1-2 Purchased electricity</v>
      </c>
      <c r="D38" s="110" t="str">
        <f>'Constants - Poultry'!$J$29</f>
        <v>Solid storage</v>
      </c>
      <c r="E38" s="18">
        <v>0.2</v>
      </c>
      <c r="F38" s="18">
        <v>0.2</v>
      </c>
      <c r="G38" s="18">
        <v>0.2</v>
      </c>
      <c r="H38" s="18">
        <v>0.2</v>
      </c>
      <c r="I38" s="16" t="s">
        <v>315</v>
      </c>
      <c r="J38" s="16"/>
      <c r="K38" s="18">
        <v>0.25</v>
      </c>
      <c r="L38" s="18">
        <v>0.25</v>
      </c>
      <c r="M38" s="104">
        <f t="shared" ref="M38:M42" si="0">1-SUM(K38:L38)</f>
        <v>0.5</v>
      </c>
      <c r="R38" s="21"/>
    </row>
    <row r="39" spans="1:18" ht="20.100000000000001" customHeight="1" x14ac:dyDescent="0.2">
      <c r="A39" s="5" t="str">
        <f>HYPERLINK("#'15 Scope 3'!A1", "15 Scope 3")</f>
        <v>15 Scope 3</v>
      </c>
      <c r="D39" s="110" t="str">
        <f>'Constants - Poultry'!$J$30</f>
        <v>Composting (passive windrow)</v>
      </c>
      <c r="E39" s="18">
        <v>0.2</v>
      </c>
      <c r="F39" s="18">
        <v>0.2</v>
      </c>
      <c r="G39" s="18">
        <v>0.2</v>
      </c>
      <c r="H39" s="18">
        <v>0.2</v>
      </c>
      <c r="I39" s="16" t="s">
        <v>315</v>
      </c>
      <c r="J39" s="16"/>
      <c r="K39" s="18">
        <v>0.25</v>
      </c>
      <c r="L39" s="18">
        <v>0.25</v>
      </c>
      <c r="M39" s="104">
        <f t="shared" si="0"/>
        <v>0.5</v>
      </c>
      <c r="R39" s="21"/>
    </row>
    <row r="40" spans="1:18" ht="20.100000000000001" customHeight="1" x14ac:dyDescent="0.2">
      <c r="A40" s="5" t="str">
        <f>HYPERLINK("#'Calcs - Manure sent off-site'!A1", "Calcs - Manure sent off-site")</f>
        <v>Calcs - Manure sent off-site</v>
      </c>
      <c r="D40" s="110" t="str">
        <f>'Constants - Poultry'!$J$31</f>
        <v>Digester / covered lagoons</v>
      </c>
      <c r="E40" s="18">
        <v>0.2</v>
      </c>
      <c r="F40" s="18">
        <v>0.2</v>
      </c>
      <c r="G40" s="18">
        <v>0.2</v>
      </c>
      <c r="H40" s="18">
        <v>0.2</v>
      </c>
      <c r="I40" s="16" t="s">
        <v>315</v>
      </c>
      <c r="J40" s="16"/>
      <c r="K40" s="18">
        <v>0.25</v>
      </c>
      <c r="L40" s="18">
        <v>0.25</v>
      </c>
      <c r="M40" s="104">
        <f t="shared" si="0"/>
        <v>0.5</v>
      </c>
      <c r="R40" s="21"/>
    </row>
    <row r="41" spans="1:18" ht="20.100000000000001" customHeight="1" x14ac:dyDescent="0.2">
      <c r="A41" s="5" t="str">
        <f>HYPERLINK("#'5.1.1.1-2 Inorganic fert N2O'!A1", "5.1.1.1-2 Inorganic fert N2O")</f>
        <v>5.1.1.1-2 Inorganic fert N2O</v>
      </c>
      <c r="D41" s="110" t="str">
        <f>'Constants - Poultry'!$J$32</f>
        <v>Direct processing</v>
      </c>
      <c r="E41" s="18">
        <v>0.2</v>
      </c>
      <c r="F41" s="18">
        <v>0.2</v>
      </c>
      <c r="G41" s="18">
        <v>0.2</v>
      </c>
      <c r="H41" s="18">
        <v>0.2</v>
      </c>
      <c r="I41" s="16" t="s">
        <v>315</v>
      </c>
      <c r="J41" s="16"/>
      <c r="K41" s="18">
        <v>0.25</v>
      </c>
      <c r="L41" s="18">
        <v>0.25</v>
      </c>
      <c r="M41" s="104">
        <f t="shared" si="0"/>
        <v>0.5</v>
      </c>
      <c r="R41" s="21"/>
    </row>
    <row r="42" spans="1:18" ht="20.100000000000001" customHeight="1" x14ac:dyDescent="0.2">
      <c r="A42" s="5" t="str">
        <f>HYPERLINK("#'5.1.1.3-4 Inorganic fert CO2'!A1", "5.1.1.3-4 Inorganic fert CO2")</f>
        <v>5.1.1.3-4 Inorganic fert CO2</v>
      </c>
      <c r="D42" s="110" t="str">
        <f>'Constants - Poultry'!$J$33</f>
        <v>Direct application</v>
      </c>
      <c r="E42" s="104">
        <f>1-SUM(E38:E41)</f>
        <v>0.19999999999999996</v>
      </c>
      <c r="F42" s="104">
        <f t="shared" ref="F42:H42" si="1">1-SUM(F38:F41)</f>
        <v>0.19999999999999996</v>
      </c>
      <c r="G42" s="104">
        <f t="shared" si="1"/>
        <v>0.19999999999999996</v>
      </c>
      <c r="H42" s="104">
        <f t="shared" si="1"/>
        <v>0.19999999999999996</v>
      </c>
      <c r="I42" s="16" t="s">
        <v>315</v>
      </c>
      <c r="J42" s="16"/>
      <c r="K42" s="104">
        <v>0</v>
      </c>
      <c r="L42" s="104">
        <v>0</v>
      </c>
      <c r="M42" s="104">
        <f t="shared" si="0"/>
        <v>1</v>
      </c>
      <c r="R42" s="21"/>
    </row>
    <row r="43" spans="1:18" ht="20.100000000000001" customHeight="1" x14ac:dyDescent="0.2">
      <c r="A43" s="5" t="str">
        <f>HYPERLINK("#'5.2.1.1-2 Organic Fert N2O'!A1", "5.2.1.1-2 Organic Fert N2O")</f>
        <v>5.2.1.1-2 Organic Fert N2O</v>
      </c>
      <c r="D43" s="111"/>
      <c r="F43" s="16"/>
      <c r="R43" s="21"/>
    </row>
    <row r="44" spans="1:18" ht="20.100000000000001" customHeight="1" x14ac:dyDescent="0.2">
      <c r="A44" s="5" t="str">
        <f>HYPERLINK("#'5.3.1.1-2 Lime CO2'!A1", "5.3.1.1-2 Lime CO2")</f>
        <v>5.3.1.1-2 Lime CO2</v>
      </c>
      <c r="D44" s="108" t="str">
        <f>"From stage 1: " &amp; $D$31</f>
        <v>From stage 1: Belt manure removal</v>
      </c>
      <c r="E44" s="87" t="str">
        <f>IF(SUM(E31:H31)&gt;0,"Manure was sent to this MMS, please complete this section.","No manure was sent to this MMS. Leave this section blank.")</f>
        <v>Manure was sent to this MMS, please complete this section.</v>
      </c>
      <c r="K44" s="109" t="s">
        <v>321</v>
      </c>
      <c r="L44" s="109" t="s">
        <v>322</v>
      </c>
      <c r="M44" s="109" t="s">
        <v>323</v>
      </c>
      <c r="R44" s="21"/>
    </row>
    <row r="45" spans="1:18" ht="20.100000000000001" customHeight="1" x14ac:dyDescent="0.2">
      <c r="A45" s="5" t="str">
        <f>HYPERLINK("#'5.4.1.1-4 Atmos deposition'!A1", "5.4.1.1-4 Atmos deposition")</f>
        <v>5.4.1.1-4 Atmos deposition</v>
      </c>
      <c r="D45" s="110" t="str">
        <f>'Constants - Poultry'!$J$29</f>
        <v>Solid storage</v>
      </c>
      <c r="E45" s="18">
        <v>0.2</v>
      </c>
      <c r="F45" s="18">
        <v>0.2</v>
      </c>
      <c r="G45" s="18">
        <v>0.2</v>
      </c>
      <c r="H45" s="18">
        <v>0.2</v>
      </c>
      <c r="I45" s="16" t="s">
        <v>315</v>
      </c>
      <c r="J45" s="16"/>
      <c r="K45" s="18">
        <v>0.25</v>
      </c>
      <c r="L45" s="18">
        <v>0.25</v>
      </c>
      <c r="M45" s="104">
        <f>1-SUM(K45:L45)</f>
        <v>0.5</v>
      </c>
      <c r="R45" s="21"/>
    </row>
    <row r="46" spans="1:18" ht="20.100000000000001" customHeight="1" x14ac:dyDescent="0.2">
      <c r="A46" s="5" t="str">
        <f>HYPERLINK("#'5.5.1.1-2 Leaching and runoff'!A1", "5.5.1.1-2 Leaching and runoff")</f>
        <v>5.5.1.1-2 Leaching and runoff</v>
      </c>
      <c r="D46" s="110" t="str">
        <f>'Constants - Poultry'!$J$30</f>
        <v>Composting (passive windrow)</v>
      </c>
      <c r="E46" s="18">
        <v>0.2</v>
      </c>
      <c r="F46" s="18">
        <v>0.2</v>
      </c>
      <c r="G46" s="18">
        <v>0.2</v>
      </c>
      <c r="H46" s="18">
        <v>0.2</v>
      </c>
      <c r="I46" s="16" t="s">
        <v>315</v>
      </c>
      <c r="J46" s="16"/>
      <c r="K46" s="18">
        <v>0.25</v>
      </c>
      <c r="L46" s="18">
        <v>0.25</v>
      </c>
      <c r="M46" s="104">
        <f t="shared" ref="M46:M49" si="2">1-SUM(K46:L46)</f>
        <v>0.5</v>
      </c>
      <c r="R46" s="21"/>
    </row>
    <row r="47" spans="1:18" ht="20.100000000000001" customHeight="1" x14ac:dyDescent="0.2">
      <c r="D47" s="110" t="str">
        <f>'Constants - Poultry'!$J$31</f>
        <v>Digester / covered lagoons</v>
      </c>
      <c r="E47" s="18">
        <v>0.2</v>
      </c>
      <c r="F47" s="18">
        <v>0.2</v>
      </c>
      <c r="G47" s="18">
        <v>0.2</v>
      </c>
      <c r="H47" s="18">
        <v>0.2</v>
      </c>
      <c r="I47" s="16" t="s">
        <v>315</v>
      </c>
      <c r="J47" s="16"/>
      <c r="K47" s="18">
        <v>0.25</v>
      </c>
      <c r="L47" s="18">
        <v>0.25</v>
      </c>
      <c r="M47" s="104">
        <f t="shared" si="2"/>
        <v>0.5</v>
      </c>
      <c r="R47" s="21"/>
    </row>
    <row r="48" spans="1:18" ht="20.100000000000001" customHeight="1" x14ac:dyDescent="0.2">
      <c r="D48" s="110" t="str">
        <f>'Constants - Poultry'!$J$32</f>
        <v>Direct processing</v>
      </c>
      <c r="E48" s="18">
        <v>0.2</v>
      </c>
      <c r="F48" s="18">
        <v>0.2</v>
      </c>
      <c r="G48" s="18">
        <v>0.2</v>
      </c>
      <c r="H48" s="18">
        <v>0.2</v>
      </c>
      <c r="I48" s="16" t="s">
        <v>315</v>
      </c>
      <c r="J48" s="16"/>
      <c r="K48" s="18">
        <v>0.25</v>
      </c>
      <c r="L48" s="18">
        <v>0.25</v>
      </c>
      <c r="M48" s="104">
        <f t="shared" si="2"/>
        <v>0.5</v>
      </c>
      <c r="R48" s="21"/>
    </row>
    <row r="49" spans="1:18" ht="20.100000000000001" customHeight="1" x14ac:dyDescent="0.2">
      <c r="A49" s="80" t="s">
        <v>1</v>
      </c>
      <c r="D49" s="110" t="str">
        <f>'Constants - Poultry'!$J$33</f>
        <v>Direct application</v>
      </c>
      <c r="E49" s="104">
        <f>1-SUM(E45:E48)</f>
        <v>0.19999999999999996</v>
      </c>
      <c r="F49" s="104">
        <f t="shared" ref="F49:H49" si="3">1-SUM(F45:F48)</f>
        <v>0.19999999999999996</v>
      </c>
      <c r="G49" s="104">
        <f t="shared" si="3"/>
        <v>0.19999999999999996</v>
      </c>
      <c r="H49" s="104">
        <f t="shared" si="3"/>
        <v>0.19999999999999996</v>
      </c>
      <c r="K49" s="104">
        <v>0</v>
      </c>
      <c r="L49" s="104">
        <v>0</v>
      </c>
      <c r="M49" s="104">
        <f t="shared" si="2"/>
        <v>1</v>
      </c>
      <c r="R49" s="21"/>
    </row>
    <row r="50" spans="1:18" ht="20.100000000000001" customHeight="1" x14ac:dyDescent="0.2">
      <c r="A50" s="5" t="str">
        <f>HYPERLINK("#'Constants - Poultry'!A1", "Constants - Poultry")</f>
        <v>Constants - Poultry</v>
      </c>
      <c r="R50" s="21"/>
    </row>
    <row r="51" spans="1:18" ht="20.100000000000001" customHeight="1" x14ac:dyDescent="0.2">
      <c r="A51" s="5" t="str">
        <f>HYPERLINK("#'Constants - Common livestock'!A1", "Constants - Common Livestock")</f>
        <v>Constants - Common Livestock</v>
      </c>
      <c r="D51" s="108" t="str">
        <f>"From stage 1: " &amp; $D$32</f>
        <v>From stage 1: Manure stored in house</v>
      </c>
      <c r="E51" s="87" t="str">
        <f>IF(SUM(E32:H32)&gt;0,"Manure was sent to this MMS, please complete this section.","No manure was sent to this MMS. Leave this section blank.")</f>
        <v>Manure was sent to this MMS, please complete this section.</v>
      </c>
      <c r="K51" s="109" t="s">
        <v>321</v>
      </c>
      <c r="L51" s="109" t="s">
        <v>322</v>
      </c>
      <c r="M51" s="109" t="s">
        <v>323</v>
      </c>
      <c r="R51" s="21"/>
    </row>
    <row r="52" spans="1:18" ht="20.100000000000001" customHeight="1" x14ac:dyDescent="0.2">
      <c r="A52" s="5" t="str">
        <f>HYPERLINK("#'Constants - Electricity'!A1", "Constants - Electricity")</f>
        <v>Constants - Electricity</v>
      </c>
      <c r="D52" s="110" t="str">
        <f>'Constants - Poultry'!$J$29</f>
        <v>Solid storage</v>
      </c>
      <c r="E52" s="18">
        <v>0.2</v>
      </c>
      <c r="F52" s="18">
        <v>0.2</v>
      </c>
      <c r="G52" s="18">
        <v>0.2</v>
      </c>
      <c r="H52" s="18">
        <v>0.2</v>
      </c>
      <c r="I52" s="16" t="s">
        <v>315</v>
      </c>
      <c r="J52" s="16"/>
      <c r="K52" s="18">
        <v>0.25</v>
      </c>
      <c r="L52" s="18">
        <v>0.25</v>
      </c>
      <c r="M52" s="104">
        <f>1-SUM(K52:L52)</f>
        <v>0.5</v>
      </c>
      <c r="R52" s="21"/>
    </row>
    <row r="53" spans="1:18" ht="20.100000000000001" customHeight="1" x14ac:dyDescent="0.2">
      <c r="A53" s="5" t="str">
        <f>HYPERLINK("#'Constants - Fertiliser'!A1", "Constants - Fertiliser")</f>
        <v>Constants - Fertiliser</v>
      </c>
      <c r="D53" s="110" t="str">
        <f>'Constants - Poultry'!$J$30</f>
        <v>Composting (passive windrow)</v>
      </c>
      <c r="E53" s="18">
        <v>0.2</v>
      </c>
      <c r="F53" s="18">
        <v>0.2</v>
      </c>
      <c r="G53" s="18">
        <v>0.2</v>
      </c>
      <c r="H53" s="18">
        <v>0.2</v>
      </c>
      <c r="I53" s="16" t="s">
        <v>315</v>
      </c>
      <c r="J53" s="16"/>
      <c r="K53" s="18">
        <v>0.25</v>
      </c>
      <c r="L53" s="18">
        <v>0.25</v>
      </c>
      <c r="M53" s="104">
        <f>1-SUM(K53:L53)</f>
        <v>0.5</v>
      </c>
      <c r="R53" s="21"/>
    </row>
    <row r="54" spans="1:18" ht="20.100000000000001" customHeight="1" x14ac:dyDescent="0.2">
      <c r="A54" s="5" t="str">
        <f>HYPERLINK("#'Constants - Fuel'!A1", "Constants - Fuel")</f>
        <v>Constants - Fuel</v>
      </c>
      <c r="D54" s="110" t="str">
        <f>'Constants - Poultry'!$J$31</f>
        <v>Digester / covered lagoons</v>
      </c>
      <c r="E54" s="18">
        <v>0.2</v>
      </c>
      <c r="F54" s="18">
        <v>0.2</v>
      </c>
      <c r="G54" s="18">
        <v>0.2</v>
      </c>
      <c r="H54" s="18">
        <v>0.2</v>
      </c>
      <c r="I54" s="16" t="s">
        <v>315</v>
      </c>
      <c r="J54" s="16"/>
      <c r="K54" s="18">
        <v>0.25</v>
      </c>
      <c r="L54" s="18">
        <v>0.25</v>
      </c>
      <c r="M54" s="104">
        <f>1-SUM(K54:L54)</f>
        <v>0.5</v>
      </c>
      <c r="R54" s="21"/>
    </row>
    <row r="55" spans="1:18" ht="20.100000000000001" customHeight="1" x14ac:dyDescent="0.2">
      <c r="A55" s="5" t="str">
        <f>HYPERLINK("#'Constants - Scope 3'!A1", "Constants - Scope 3")</f>
        <v>Constants - Scope 3</v>
      </c>
      <c r="D55" s="110" t="str">
        <f>'Constants - Poultry'!$J$32</f>
        <v>Direct processing</v>
      </c>
      <c r="E55" s="18">
        <v>0.2</v>
      </c>
      <c r="F55" s="18">
        <v>0.2</v>
      </c>
      <c r="G55" s="18">
        <v>0.2</v>
      </c>
      <c r="H55" s="18">
        <v>0.2</v>
      </c>
      <c r="I55" s="16" t="s">
        <v>315</v>
      </c>
      <c r="J55" s="16"/>
      <c r="K55" s="18">
        <v>0.25</v>
      </c>
      <c r="L55" s="18">
        <v>0.25</v>
      </c>
      <c r="M55" s="104">
        <f t="shared" ref="M55:M56" si="4">1-SUM(K55:L55)</f>
        <v>0.5</v>
      </c>
      <c r="R55" s="21"/>
    </row>
    <row r="56" spans="1:18" ht="20.100000000000001" customHeight="1" x14ac:dyDescent="0.2">
      <c r="A56" s="5" t="str">
        <f>HYPERLINK("#'Constants - Solid Waste'!A1", "Constants - Solid Waste")</f>
        <v>Constants - Solid Waste</v>
      </c>
      <c r="D56" s="110" t="str">
        <f>'Constants - Poultry'!$J$33</f>
        <v>Direct application</v>
      </c>
      <c r="E56" s="104">
        <f>1-SUM(E52:E55)</f>
        <v>0.19999999999999996</v>
      </c>
      <c r="F56" s="104">
        <f t="shared" ref="F56:H56" si="5">1-SUM(F52:F55)</f>
        <v>0.19999999999999996</v>
      </c>
      <c r="G56" s="104">
        <f t="shared" si="5"/>
        <v>0.19999999999999996</v>
      </c>
      <c r="H56" s="104">
        <f t="shared" si="5"/>
        <v>0.19999999999999996</v>
      </c>
      <c r="I56" s="16" t="s">
        <v>315</v>
      </c>
      <c r="J56" s="16"/>
      <c r="K56" s="104">
        <v>0</v>
      </c>
      <c r="L56" s="104">
        <v>0</v>
      </c>
      <c r="M56" s="104">
        <f t="shared" si="4"/>
        <v>1</v>
      </c>
      <c r="R56" s="21"/>
    </row>
    <row r="57" spans="1:18" ht="20.100000000000001" customHeight="1" x14ac:dyDescent="0.2">
      <c r="A57" s="5" t="str">
        <f>HYPERLINK("#'Constants - Common'!A1", "Constants - Common")</f>
        <v>Constants - Common</v>
      </c>
      <c r="R57" s="21"/>
    </row>
    <row r="58" spans="1:18" ht="20.100000000000001" customHeight="1" x14ac:dyDescent="0.2">
      <c r="D58" s="103"/>
      <c r="R58" s="21"/>
    </row>
    <row r="59" spans="1:18" ht="20.100000000000001" customHeight="1" x14ac:dyDescent="0.2">
      <c r="D59" s="1" t="s">
        <v>324</v>
      </c>
      <c r="E59" s="13" t="s">
        <v>325</v>
      </c>
      <c r="F59" s="16" t="s">
        <v>100</v>
      </c>
      <c r="R59" s="21"/>
    </row>
    <row r="60" spans="1:18" ht="20.100000000000001" customHeight="1" x14ac:dyDescent="0.2">
      <c r="E60" s="13" t="s">
        <v>326</v>
      </c>
      <c r="F60" s="16" t="s">
        <v>100</v>
      </c>
      <c r="R60" s="21"/>
    </row>
    <row r="61" spans="1:18" ht="20.100000000000001" customHeight="1" x14ac:dyDescent="0.2">
      <c r="R61" s="21"/>
    </row>
    <row r="62" spans="1:18" ht="20.100000000000001" customHeight="1" x14ac:dyDescent="0.2">
      <c r="R62" s="21"/>
    </row>
    <row r="63" spans="1:18" ht="20.100000000000001" customHeight="1" x14ac:dyDescent="0.2">
      <c r="R63" s="21"/>
    </row>
    <row r="64" spans="1:18" ht="20.100000000000001" customHeight="1" x14ac:dyDescent="0.2">
      <c r="R64" s="21"/>
    </row>
    <row r="65" spans="18:18" ht="20.100000000000001" customHeight="1" x14ac:dyDescent="0.2">
      <c r="R65" s="21"/>
    </row>
    <row r="66" spans="18:18" ht="20.100000000000001" customHeight="1" x14ac:dyDescent="0.2">
      <c r="R66" s="21"/>
    </row>
    <row r="67" spans="18:18" ht="20.100000000000001" customHeight="1" x14ac:dyDescent="0.2">
      <c r="R67" s="21"/>
    </row>
    <row r="68" spans="18:18" ht="20.100000000000001" customHeight="1" x14ac:dyDescent="0.2">
      <c r="R68" s="21"/>
    </row>
    <row r="69" spans="18:18" ht="20.100000000000001" customHeight="1" x14ac:dyDescent="0.2">
      <c r="R69" s="21"/>
    </row>
    <row r="70" spans="18:18" ht="20.100000000000001" customHeight="1" x14ac:dyDescent="0.2">
      <c r="R70" s="21"/>
    </row>
    <row r="71" spans="18:18" ht="20.100000000000001" customHeight="1" x14ac:dyDescent="0.2">
      <c r="R71" s="21"/>
    </row>
    <row r="72" spans="18:18" ht="20.100000000000001" customHeight="1" x14ac:dyDescent="0.2">
      <c r="R72" s="21"/>
    </row>
    <row r="73" spans="18:18" ht="20.100000000000001" customHeight="1" x14ac:dyDescent="0.2">
      <c r="R73" s="21"/>
    </row>
    <row r="74" spans="18:18" ht="20.100000000000001" customHeight="1" x14ac:dyDescent="0.2">
      <c r="R74" s="21"/>
    </row>
    <row r="75" spans="18:18" ht="20.100000000000001" customHeight="1" x14ac:dyDescent="0.2">
      <c r="R75" s="21"/>
    </row>
    <row r="76" spans="18:18" ht="20.100000000000001" customHeight="1" x14ac:dyDescent="0.2">
      <c r="R76" s="21"/>
    </row>
    <row r="77" spans="18:18" ht="20.100000000000001" customHeight="1" x14ac:dyDescent="0.2">
      <c r="R77" s="21"/>
    </row>
    <row r="78" spans="18:18" ht="20.100000000000001" customHeight="1" x14ac:dyDescent="0.2">
      <c r="R78" s="21"/>
    </row>
    <row r="79" spans="18:18" ht="20.100000000000001" customHeight="1" x14ac:dyDescent="0.2">
      <c r="R79" s="21"/>
    </row>
    <row r="80" spans="18:18" ht="20.100000000000001" customHeight="1" x14ac:dyDescent="0.2">
      <c r="R80" s="21"/>
    </row>
    <row r="81" spans="18:18" ht="20.100000000000001" customHeight="1" x14ac:dyDescent="0.2">
      <c r="R81" s="21"/>
    </row>
    <row r="82" spans="18:18" ht="20.100000000000001" customHeight="1" x14ac:dyDescent="0.2">
      <c r="R82" s="21"/>
    </row>
    <row r="83" spans="18:18" ht="20.100000000000001" customHeight="1" x14ac:dyDescent="0.2">
      <c r="R83" s="21"/>
    </row>
    <row r="84" spans="18:18" ht="20.100000000000001" customHeight="1" x14ac:dyDescent="0.2">
      <c r="R84" s="21"/>
    </row>
    <row r="85" spans="18:18" ht="20.100000000000001" customHeight="1" x14ac:dyDescent="0.2">
      <c r="R85" s="21"/>
    </row>
    <row r="86" spans="18:18" ht="20.100000000000001" customHeight="1" x14ac:dyDescent="0.2">
      <c r="R86" s="21"/>
    </row>
    <row r="87" spans="18:18" ht="20.100000000000001" customHeight="1" x14ac:dyDescent="0.2">
      <c r="R87" s="21"/>
    </row>
    <row r="88" spans="18:18" ht="20.100000000000001" customHeight="1" x14ac:dyDescent="0.2">
      <c r="R88" s="21"/>
    </row>
    <row r="89" spans="18:18" ht="20.100000000000001" customHeight="1" x14ac:dyDescent="0.2">
      <c r="R89" s="21"/>
    </row>
    <row r="90" spans="18:18" ht="20.100000000000001" customHeight="1" x14ac:dyDescent="0.2">
      <c r="R90" s="21"/>
    </row>
    <row r="91" spans="18:18" ht="20.100000000000001" customHeight="1" x14ac:dyDescent="0.2">
      <c r="R91" s="21"/>
    </row>
    <row r="92" spans="18:18" ht="20.100000000000001" customHeight="1" x14ac:dyDescent="0.2">
      <c r="R92" s="21"/>
    </row>
    <row r="93" spans="18:18" ht="20.100000000000001" customHeight="1" x14ac:dyDescent="0.2">
      <c r="R93" s="21"/>
    </row>
    <row r="94" spans="18:18" ht="20.100000000000001" customHeight="1" x14ac:dyDescent="0.2">
      <c r="R94" s="21"/>
    </row>
    <row r="95" spans="18:18" ht="20.100000000000001" customHeight="1" x14ac:dyDescent="0.2">
      <c r="R95" s="21"/>
    </row>
    <row r="96" spans="18:18" ht="20.100000000000001" customHeight="1" x14ac:dyDescent="0.2">
      <c r="R96" s="21"/>
    </row>
    <row r="97" spans="14:18" ht="20.100000000000001" customHeight="1" x14ac:dyDescent="0.2">
      <c r="R97" s="21"/>
    </row>
    <row r="98" spans="14:18" ht="20.100000000000001" customHeight="1" x14ac:dyDescent="0.2">
      <c r="R98" s="21"/>
    </row>
    <row r="99" spans="14:18" ht="20.100000000000001" customHeight="1" x14ac:dyDescent="0.2">
      <c r="R99" s="21"/>
    </row>
    <row r="100" spans="14:18" ht="20.100000000000001" customHeight="1" x14ac:dyDescent="0.2">
      <c r="R100" s="21"/>
    </row>
    <row r="101" spans="14:18" ht="20.100000000000001" customHeight="1" x14ac:dyDescent="0.2">
      <c r="R101" s="21"/>
    </row>
    <row r="102" spans="14:18" ht="20.100000000000001" customHeight="1" x14ac:dyDescent="0.2">
      <c r="R102" s="21"/>
    </row>
    <row r="103" spans="14:18" ht="20.100000000000001" customHeight="1" x14ac:dyDescent="0.2">
      <c r="R103" s="21"/>
    </row>
    <row r="104" spans="14:18" ht="20.100000000000001" customHeight="1" x14ac:dyDescent="0.2">
      <c r="R104" s="21"/>
    </row>
    <row r="105" spans="14:18" ht="20.100000000000001" customHeight="1" x14ac:dyDescent="0.2">
      <c r="R105" s="21"/>
    </row>
    <row r="106" spans="14:18" ht="20.100000000000001" customHeight="1" x14ac:dyDescent="0.2">
      <c r="R106" s="21"/>
    </row>
    <row r="108" spans="14:18" ht="20.100000000000001" customHeight="1" x14ac:dyDescent="0.2">
      <c r="N108" s="24"/>
    </row>
    <row r="109" spans="14:18" ht="20.100000000000001" customHeight="1" x14ac:dyDescent="0.2">
      <c r="N109" s="24"/>
    </row>
    <row r="110" spans="14:18" ht="20.100000000000001" customHeight="1" x14ac:dyDescent="0.2">
      <c r="N110" s="24"/>
    </row>
    <row r="111" spans="14:18" ht="20.100000000000001" customHeight="1" x14ac:dyDescent="0.2">
      <c r="N111" s="24"/>
    </row>
    <row r="112" spans="14:18" ht="20.100000000000001" customHeight="1" x14ac:dyDescent="0.2">
      <c r="N112" s="24"/>
    </row>
    <row r="113" spans="14:14" ht="20.100000000000001" customHeight="1" x14ac:dyDescent="0.2">
      <c r="N113" s="24"/>
    </row>
    <row r="114" spans="14:14" ht="20.100000000000001" customHeight="1" x14ac:dyDescent="0.2">
      <c r="N114" s="24"/>
    </row>
    <row r="115" spans="14:14" ht="20.100000000000001" customHeight="1" x14ac:dyDescent="0.2">
      <c r="N115" s="24"/>
    </row>
    <row r="116" spans="14:14" ht="20.100000000000001" customHeight="1" x14ac:dyDescent="0.2">
      <c r="N116" s="24"/>
    </row>
    <row r="117" spans="14:14" ht="20.100000000000001" customHeight="1" x14ac:dyDescent="0.2">
      <c r="N117" s="24"/>
    </row>
    <row r="118" spans="14:14" ht="20.100000000000001" customHeight="1" x14ac:dyDescent="0.2">
      <c r="N118" s="24"/>
    </row>
    <row r="119" spans="14:14" ht="20.100000000000001" customHeight="1" x14ac:dyDescent="0.2">
      <c r="N119" s="24"/>
    </row>
    <row r="120" spans="14:14" ht="20.100000000000001" customHeight="1" x14ac:dyDescent="0.2">
      <c r="N120" s="24"/>
    </row>
    <row r="121" spans="14:14" ht="20.100000000000001" customHeight="1" x14ac:dyDescent="0.2">
      <c r="N121" s="24"/>
    </row>
    <row r="122" spans="14:14" ht="20.100000000000001" customHeight="1" x14ac:dyDescent="0.2">
      <c r="N122" s="24"/>
    </row>
    <row r="123" spans="14:14" ht="20.100000000000001" customHeight="1" x14ac:dyDescent="0.2">
      <c r="N123" s="24"/>
    </row>
    <row r="124" spans="14:14" ht="20.100000000000001" customHeight="1" x14ac:dyDescent="0.2">
      <c r="N124" s="24"/>
    </row>
    <row r="125" spans="14:14" ht="20.100000000000001" customHeight="1" x14ac:dyDescent="0.2">
      <c r="N125" s="24"/>
    </row>
    <row r="126" spans="14:14" ht="20.100000000000001" customHeight="1" x14ac:dyDescent="0.2">
      <c r="N126" s="24"/>
    </row>
    <row r="127" spans="14:14" ht="20.100000000000001" customHeight="1" x14ac:dyDescent="0.2">
      <c r="N127" s="24"/>
    </row>
    <row r="128" spans="14:14" ht="20.100000000000001" customHeight="1" x14ac:dyDescent="0.2">
      <c r="N128" s="24"/>
    </row>
    <row r="129" spans="14:14" ht="20.100000000000001" customHeight="1" x14ac:dyDescent="0.2">
      <c r="N129" s="24"/>
    </row>
    <row r="206" spans="13:13" ht="20.100000000000001" customHeight="1" x14ac:dyDescent="0.2">
      <c r="M206" s="16"/>
    </row>
    <row r="207" spans="13:13" ht="20.100000000000001" customHeight="1" x14ac:dyDescent="0.2">
      <c r="M207" s="16"/>
    </row>
    <row r="208" spans="13:13" ht="20.100000000000001" customHeight="1" x14ac:dyDescent="0.2">
      <c r="M208" s="16"/>
    </row>
    <row r="209" spans="13:13" ht="20.100000000000001" customHeight="1" x14ac:dyDescent="0.2">
      <c r="M209" s="16"/>
    </row>
    <row r="210" spans="13:13" ht="20.100000000000001" customHeight="1" x14ac:dyDescent="0.2">
      <c r="M210" s="16"/>
    </row>
    <row r="212" spans="13:13" ht="20.100000000000001" customHeight="1" x14ac:dyDescent="0.2">
      <c r="M212" s="16"/>
    </row>
    <row r="214" spans="13:13" ht="20.100000000000001" customHeight="1" x14ac:dyDescent="0.2">
      <c r="M214" s="16"/>
    </row>
    <row r="215" spans="13:13" ht="20.100000000000001" customHeight="1" x14ac:dyDescent="0.2">
      <c r="M215" s="16"/>
    </row>
    <row r="216" spans="13:13" ht="20.100000000000001" customHeight="1" x14ac:dyDescent="0.2">
      <c r="M216" s="16"/>
    </row>
    <row r="217" spans="13:13" ht="20.100000000000001" customHeight="1" x14ac:dyDescent="0.2">
      <c r="M217" s="16"/>
    </row>
    <row r="219" spans="13:13" ht="20.100000000000001" customHeight="1" x14ac:dyDescent="0.2">
      <c r="M219" s="16"/>
    </row>
    <row r="227" spans="13:13" ht="20.100000000000001" customHeight="1" x14ac:dyDescent="0.2">
      <c r="M227" s="16"/>
    </row>
    <row r="228" spans="13:13" ht="20.100000000000001" customHeight="1" x14ac:dyDescent="0.2">
      <c r="M228" s="16"/>
    </row>
    <row r="229" spans="13:13" ht="20.100000000000001" customHeight="1" x14ac:dyDescent="0.2">
      <c r="M229" s="16"/>
    </row>
    <row r="232" spans="13:13" ht="20.100000000000001" customHeight="1" x14ac:dyDescent="0.2">
      <c r="M232" s="16"/>
    </row>
    <row r="233" spans="13:13" ht="20.100000000000001" customHeight="1" x14ac:dyDescent="0.2">
      <c r="M233" s="16"/>
    </row>
    <row r="234" spans="13:13" ht="20.100000000000001" customHeight="1" x14ac:dyDescent="0.2">
      <c r="M234" s="16"/>
    </row>
    <row r="237" spans="13:13" ht="20.100000000000001" customHeight="1" x14ac:dyDescent="0.2">
      <c r="M237" s="16"/>
    </row>
    <row r="238" spans="13:13" ht="20.100000000000001" customHeight="1" x14ac:dyDescent="0.2">
      <c r="M238" s="16"/>
    </row>
    <row r="239" spans="13:13" ht="20.100000000000001" customHeight="1" x14ac:dyDescent="0.2">
      <c r="M239" s="16"/>
    </row>
    <row r="242" spans="12:13" ht="20.100000000000001" customHeight="1" x14ac:dyDescent="0.2">
      <c r="M242" s="16"/>
    </row>
    <row r="243" spans="12:13" ht="20.100000000000001" customHeight="1" x14ac:dyDescent="0.2">
      <c r="L243" s="16"/>
      <c r="M243" s="16"/>
    </row>
    <row r="244" spans="12:13" ht="20.100000000000001" customHeight="1" x14ac:dyDescent="0.2">
      <c r="M244" s="16"/>
    </row>
    <row r="248" spans="12:13" ht="20.100000000000001" customHeight="1" x14ac:dyDescent="0.2">
      <c r="L248" s="16"/>
    </row>
    <row r="251" spans="12:13" ht="20.100000000000001" customHeight="1" x14ac:dyDescent="0.2">
      <c r="M251" s="16"/>
    </row>
    <row r="252" spans="12:13" ht="20.100000000000001" customHeight="1" x14ac:dyDescent="0.2">
      <c r="M252" s="16"/>
    </row>
    <row r="253" spans="12:13" ht="20.100000000000001" customHeight="1" x14ac:dyDescent="0.2">
      <c r="L253" s="16"/>
      <c r="M253" s="16"/>
    </row>
    <row r="256" spans="12:13" ht="20.100000000000001" customHeight="1" x14ac:dyDescent="0.2">
      <c r="M256" s="16"/>
    </row>
    <row r="257" spans="12:13" ht="20.100000000000001" customHeight="1" x14ac:dyDescent="0.2">
      <c r="M257" s="16"/>
    </row>
    <row r="258" spans="12:13" ht="20.100000000000001" customHeight="1" x14ac:dyDescent="0.2">
      <c r="L258" s="16"/>
      <c r="M258" s="16"/>
    </row>
    <row r="259" spans="12:13" ht="20.100000000000001" customHeight="1" x14ac:dyDescent="0.2">
      <c r="L259" s="16"/>
    </row>
    <row r="260" spans="12:13" ht="20.100000000000001" customHeight="1" x14ac:dyDescent="0.2">
      <c r="L260" s="16"/>
    </row>
    <row r="261" spans="12:13" ht="20.100000000000001" customHeight="1" x14ac:dyDescent="0.2">
      <c r="L261" s="16"/>
      <c r="M261" s="16"/>
    </row>
    <row r="262" spans="12:13" ht="20.100000000000001" customHeight="1" x14ac:dyDescent="0.2">
      <c r="L262" s="16"/>
      <c r="M262" s="16"/>
    </row>
    <row r="263" spans="12:13" ht="20.100000000000001" customHeight="1" x14ac:dyDescent="0.2">
      <c r="M263" s="16"/>
    </row>
    <row r="264" spans="12:13" ht="20.100000000000001" customHeight="1" x14ac:dyDescent="0.2">
      <c r="L264" s="16"/>
    </row>
    <row r="266" spans="12:13" ht="20.100000000000001" customHeight="1" x14ac:dyDescent="0.2">
      <c r="L266" s="16"/>
      <c r="M266" s="16"/>
    </row>
    <row r="267" spans="12:13" ht="20.100000000000001" customHeight="1" x14ac:dyDescent="0.2">
      <c r="L267" s="16"/>
      <c r="M267" s="16"/>
    </row>
    <row r="268" spans="12:13" ht="20.100000000000001" customHeight="1" x14ac:dyDescent="0.2">
      <c r="L268" s="16"/>
      <c r="M268" s="16"/>
    </row>
    <row r="269" spans="12:13" ht="20.100000000000001" customHeight="1" x14ac:dyDescent="0.2">
      <c r="L269" s="16"/>
    </row>
    <row r="271" spans="12:13" ht="20.100000000000001" customHeight="1" x14ac:dyDescent="0.2">
      <c r="L271" s="16"/>
    </row>
    <row r="277" spans="12:12" ht="20.100000000000001" customHeight="1" x14ac:dyDescent="0.2">
      <c r="L277" s="16"/>
    </row>
    <row r="282" spans="12:12" ht="20.100000000000001" customHeight="1" x14ac:dyDescent="0.2">
      <c r="L282" s="16"/>
    </row>
    <row r="287" spans="12:12" ht="20.100000000000001" customHeight="1" x14ac:dyDescent="0.2">
      <c r="L287" s="16"/>
    </row>
    <row r="292" spans="12:12" ht="20.100000000000001" customHeight="1" x14ac:dyDescent="0.2">
      <c r="L292" s="16"/>
    </row>
    <row r="293" spans="12:12" ht="20.100000000000001" customHeight="1" x14ac:dyDescent="0.2">
      <c r="L293" s="16"/>
    </row>
    <row r="294" spans="12:12" ht="20.100000000000001" customHeight="1" x14ac:dyDescent="0.2">
      <c r="L294" s="16"/>
    </row>
    <row r="295" spans="12:12" ht="20.100000000000001" customHeight="1" x14ac:dyDescent="0.2">
      <c r="L295" s="16"/>
    </row>
    <row r="296" spans="12:12" ht="20.100000000000001" customHeight="1" x14ac:dyDescent="0.2">
      <c r="L296" s="16"/>
    </row>
    <row r="298" spans="12:12" ht="20.100000000000001" customHeight="1" x14ac:dyDescent="0.2">
      <c r="L298" s="16"/>
    </row>
    <row r="300" spans="12:12" ht="20.100000000000001" customHeight="1" x14ac:dyDescent="0.2">
      <c r="L300" s="16"/>
    </row>
    <row r="301" spans="12:12" ht="20.100000000000001" customHeight="1" x14ac:dyDescent="0.2">
      <c r="L301" s="16"/>
    </row>
    <row r="302" spans="12:12" ht="20.100000000000001" customHeight="1" x14ac:dyDescent="0.2">
      <c r="L302" s="16"/>
    </row>
    <row r="303" spans="12:12" ht="20.100000000000001" customHeight="1" x14ac:dyDescent="0.2">
      <c r="L303" s="16"/>
    </row>
    <row r="305" spans="12:12" ht="20.100000000000001" customHeight="1" x14ac:dyDescent="0.2">
      <c r="L305" s="16"/>
    </row>
    <row r="313" spans="12:12" ht="20.100000000000001" customHeight="1" x14ac:dyDescent="0.2">
      <c r="L313" s="16"/>
    </row>
    <row r="314" spans="12:12" ht="20.100000000000001" customHeight="1" x14ac:dyDescent="0.2">
      <c r="L314" s="16"/>
    </row>
    <row r="315" spans="12:12" ht="20.100000000000001" customHeight="1" x14ac:dyDescent="0.2">
      <c r="L315" s="16"/>
    </row>
    <row r="318" spans="12:12" ht="20.100000000000001" customHeight="1" x14ac:dyDescent="0.2">
      <c r="L318" s="16"/>
    </row>
    <row r="319" spans="12:12" ht="20.100000000000001" customHeight="1" x14ac:dyDescent="0.2">
      <c r="L319" s="16"/>
    </row>
    <row r="320" spans="12:12" ht="20.100000000000001" customHeight="1" x14ac:dyDescent="0.2">
      <c r="L320" s="16"/>
    </row>
    <row r="323" spans="12:12" ht="20.100000000000001" customHeight="1" x14ac:dyDescent="0.2">
      <c r="L323" s="16"/>
    </row>
    <row r="324" spans="12:12" ht="20.100000000000001" customHeight="1" x14ac:dyDescent="0.2">
      <c r="L324" s="16"/>
    </row>
    <row r="325" spans="12:12" ht="20.100000000000001" customHeight="1" x14ac:dyDescent="0.2">
      <c r="L325" s="16"/>
    </row>
    <row r="328" spans="12:12" ht="20.100000000000001" customHeight="1" x14ac:dyDescent="0.2">
      <c r="L328" s="16"/>
    </row>
    <row r="329" spans="12:12" ht="20.100000000000001" customHeight="1" x14ac:dyDescent="0.2">
      <c r="L329" s="16"/>
    </row>
    <row r="330" spans="12:12" ht="20.100000000000001" customHeight="1" x14ac:dyDescent="0.2">
      <c r="L330" s="16"/>
    </row>
    <row r="337" spans="12:12" ht="20.100000000000001" customHeight="1" x14ac:dyDescent="0.2">
      <c r="L337" s="16"/>
    </row>
    <row r="338" spans="12:12" ht="20.100000000000001" customHeight="1" x14ac:dyDescent="0.2">
      <c r="L338" s="16"/>
    </row>
    <row r="339" spans="12:12" ht="20.100000000000001" customHeight="1" x14ac:dyDescent="0.2">
      <c r="L339" s="16"/>
    </row>
    <row r="342" spans="12:12" ht="20.100000000000001" customHeight="1" x14ac:dyDescent="0.2">
      <c r="L342" s="16"/>
    </row>
    <row r="343" spans="12:12" ht="20.100000000000001" customHeight="1" x14ac:dyDescent="0.2">
      <c r="L343" s="16"/>
    </row>
    <row r="344" spans="12:12" ht="20.100000000000001" customHeight="1" x14ac:dyDescent="0.2">
      <c r="L344" s="16"/>
    </row>
    <row r="347" spans="12:12" ht="20.100000000000001" customHeight="1" x14ac:dyDescent="0.2">
      <c r="L347" s="16"/>
    </row>
    <row r="348" spans="12:12" ht="20.100000000000001" customHeight="1" x14ac:dyDescent="0.2">
      <c r="L348" s="16"/>
    </row>
    <row r="349" spans="12:12" ht="20.100000000000001" customHeight="1" x14ac:dyDescent="0.2">
      <c r="L349" s="16"/>
    </row>
    <row r="352" spans="12:12" ht="20.100000000000001" customHeight="1" x14ac:dyDescent="0.2">
      <c r="L352" s="16"/>
    </row>
    <row r="353" spans="4:12" ht="20.100000000000001" customHeight="1" x14ac:dyDescent="0.2">
      <c r="L353" s="16"/>
    </row>
    <row r="354" spans="4:12" ht="20.100000000000001" customHeight="1" x14ac:dyDescent="0.2">
      <c r="L354" s="16"/>
    </row>
    <row r="356" spans="4:12" ht="20.100000000000001" customHeight="1" x14ac:dyDescent="0.2">
      <c r="D356" s="87"/>
    </row>
  </sheetData>
  <conditionalFormatting sqref="E205:G205">
    <cfRule type="cellIs" dxfId="107" priority="23" operator="lessThan">
      <formula>0</formula>
    </cfRule>
  </conditionalFormatting>
  <conditionalFormatting sqref="F43">
    <cfRule type="cellIs" dxfId="106" priority="21" operator="lessThan">
      <formula>0</formula>
    </cfRule>
  </conditionalFormatting>
  <conditionalFormatting sqref="F121:F122">
    <cfRule type="cellIs" dxfId="105" priority="18" operator="lessThan">
      <formula>0</formula>
    </cfRule>
  </conditionalFormatting>
  <conditionalFormatting sqref="F133:F134">
    <cfRule type="cellIs" dxfId="104" priority="17" operator="lessThan">
      <formula>0</formula>
    </cfRule>
  </conditionalFormatting>
  <conditionalFormatting sqref="F145:F146">
    <cfRule type="cellIs" dxfId="103" priority="16" operator="lessThan">
      <formula>0</formula>
    </cfRule>
  </conditionalFormatting>
  <conditionalFormatting sqref="F157:F158">
    <cfRule type="cellIs" dxfId="102" priority="15" operator="lessThan">
      <formula>0</formula>
    </cfRule>
  </conditionalFormatting>
  <conditionalFormatting sqref="F245:F246">
    <cfRule type="cellIs" dxfId="101" priority="29" operator="lessThan">
      <formula>0</formula>
    </cfRule>
  </conditionalFormatting>
  <conditionalFormatting sqref="F250:F251">
    <cfRule type="cellIs" dxfId="100" priority="28" operator="lessThan">
      <formula>0</formula>
    </cfRule>
  </conditionalFormatting>
  <conditionalFormatting sqref="F255:F256">
    <cfRule type="cellIs" dxfId="99" priority="27" operator="lessThan">
      <formula>0</formula>
    </cfRule>
  </conditionalFormatting>
  <conditionalFormatting sqref="F279:F280">
    <cfRule type="cellIs" dxfId="98" priority="26" operator="lessThan">
      <formula>0</formula>
    </cfRule>
  </conditionalFormatting>
  <conditionalFormatting sqref="F284:F285">
    <cfRule type="cellIs" dxfId="97" priority="25" operator="lessThan">
      <formula>0</formula>
    </cfRule>
  </conditionalFormatting>
  <conditionalFormatting sqref="F289:F290">
    <cfRule type="cellIs" dxfId="96" priority="24" operator="lessThan">
      <formula>0</formula>
    </cfRule>
  </conditionalFormatting>
  <conditionalFormatting sqref="I30:J34">
    <cfRule type="cellIs" dxfId="95" priority="20" operator="lessThan">
      <formula>0</formula>
    </cfRule>
  </conditionalFormatting>
  <conditionalFormatting sqref="I38:J42 O43:P43 I60:J60 N101 I119:K119 L180:M180 L184:M185 L188:M189 L194:M195 L198:M198 I199:M199 I205:M205">
    <cfRule type="cellIs" dxfId="94" priority="22" operator="lessThan">
      <formula>0</formula>
    </cfRule>
  </conditionalFormatting>
  <conditionalFormatting sqref="I45:J49">
    <cfRule type="cellIs" dxfId="93" priority="5" operator="lessThan">
      <formula>0</formula>
    </cfRule>
  </conditionalFormatting>
  <conditionalFormatting sqref="I52:J56">
    <cfRule type="cellIs" dxfId="92" priority="4" operator="lessThan">
      <formula>0</formula>
    </cfRule>
  </conditionalFormatting>
  <conditionalFormatting sqref="I71:J73">
    <cfRule type="cellIs" dxfId="91" priority="3" operator="lessThan">
      <formula>0</formula>
    </cfRule>
  </conditionalFormatting>
  <conditionalFormatting sqref="I77:J80">
    <cfRule type="cellIs" dxfId="90" priority="2" operator="lessThan">
      <formula>0</formula>
    </cfRule>
  </conditionalFormatting>
  <conditionalFormatting sqref="I84:J88">
    <cfRule type="cellIs" dxfId="89" priority="1" operator="lessThan">
      <formula>0</formula>
    </cfRule>
  </conditionalFormatting>
  <conditionalFormatting sqref="K147">
    <cfRule type="cellIs" dxfId="88" priority="19" operator="lessThan">
      <formula>0</formula>
    </cfRule>
  </conditionalFormatting>
  <conditionalFormatting sqref="M113:M116">
    <cfRule type="cellIs" dxfId="87" priority="9" operator="lessThan">
      <formula>0</formula>
    </cfRule>
  </conditionalFormatting>
  <conditionalFormatting sqref="M119">
    <cfRule type="cellIs" dxfId="86" priority="14" operator="lessThan">
      <formula>0</formula>
    </cfRule>
  </conditionalFormatting>
  <conditionalFormatting sqref="M125:M128">
    <cfRule type="cellIs" dxfId="85" priority="8" operator="lessThan">
      <formula>0</formula>
    </cfRule>
  </conditionalFormatting>
  <conditionalFormatting sqref="M131">
    <cfRule type="cellIs" dxfId="84" priority="13" operator="lessThan">
      <formula>0</formula>
    </cfRule>
  </conditionalFormatting>
  <conditionalFormatting sqref="M137:M140">
    <cfRule type="cellIs" dxfId="83" priority="7" operator="lessThan">
      <formula>0</formula>
    </cfRule>
  </conditionalFormatting>
  <conditionalFormatting sqref="M143">
    <cfRule type="cellIs" dxfId="82" priority="12" operator="lessThan">
      <formula>0</formula>
    </cfRule>
  </conditionalFormatting>
  <conditionalFormatting sqref="M149:M152">
    <cfRule type="cellIs" dxfId="81" priority="6" operator="lessThan">
      <formula>0</formula>
    </cfRule>
  </conditionalFormatting>
  <conditionalFormatting sqref="M155">
    <cfRule type="cellIs" dxfId="80" priority="11" operator="lessThan">
      <formula>0</formula>
    </cfRule>
  </conditionalFormatting>
  <conditionalFormatting sqref="M159:M160">
    <cfRule type="cellIs" dxfId="79" priority="10"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78" priority="30" operator="lessThan">
      <formula>0</formula>
    </cfRule>
  </conditionalFormatting>
  <dataValidations count="6">
    <dataValidation type="list" allowBlank="1" showInputMessage="1" showErrorMessage="1" sqref="E59" xr:uid="{B5B8118A-1A19-4851-BA41-784D2941E660}">
      <formula1>INDIRECT("Table_SourceData_Poultry_CropProdSystems[Production system]")</formula1>
    </dataValidation>
    <dataValidation type="list" allowBlank="1" showInputMessage="1" showErrorMessage="1" sqref="E60" xr:uid="{21917F24-1A45-44D0-A2F5-02EF110B4C36}">
      <formula1>INDIRECT("Table_SourceData_Poultry_IrrigationMethods[Irrigation method]")</formula1>
    </dataValidation>
    <dataValidation type="list" allowBlank="1" showInputMessage="1" showErrorMessage="1" sqref="E27" xr:uid="{4648A269-B8EC-44A5-BD3D-BDCD409003C5}">
      <formula1>INDIRECT("Table_SourceData_Poultry_ProductionSystems[Production system]")</formula1>
    </dataValidation>
    <dataValidation type="list" allowBlank="1" showInputMessage="1" showErrorMessage="1" sqref="E244 E249 E254 E288 E283 E278 E156 E144 E120 E132" xr:uid="{DA91640C-C26E-4217-BE5E-1820FD153B35}">
      <formula1>"Yes, No"</formula1>
    </dataValidation>
    <dataValidation type="list" allowBlank="1" showInputMessage="1" showErrorMessage="1" sqref="E220" xr:uid="{19C68FE3-2D4E-48F4-AF23-0AA8AFA5357A}">
      <formula1>INDIRECT("Table_SourceData_Dairy_ProductionSystemTemplates[Area]")</formula1>
    </dataValidation>
    <dataValidation type="list" allowBlank="1" showInputMessage="1" showErrorMessage="1" sqref="D272" xr:uid="{D6236ADF-A74C-4F41-BB7D-F3406386DF73}">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A1:M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C1" s="10" t="s">
        <v>257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7" t="s">
        <v>258</v>
      </c>
    </row>
    <row r="6" spans="1:13" ht="20.100000000000001" customHeight="1" x14ac:dyDescent="0.2">
      <c r="D6" s="19" t="s">
        <v>259</v>
      </c>
      <c r="E6" s="19" t="s">
        <v>260</v>
      </c>
      <c r="F6" s="19" t="s">
        <v>261</v>
      </c>
      <c r="G6" s="19" t="s">
        <v>262</v>
      </c>
      <c r="H6" s="19" t="s">
        <v>263</v>
      </c>
      <c r="I6" s="19" t="s">
        <v>264</v>
      </c>
    </row>
    <row r="7" spans="1:13" ht="20.100000000000001" customHeight="1" x14ac:dyDescent="0.2">
      <c r="D7" s="33"/>
      <c r="E7" s="13"/>
      <c r="F7" s="97">
        <v>45566</v>
      </c>
      <c r="G7" s="19">
        <v>1000</v>
      </c>
      <c r="H7" s="19">
        <v>500</v>
      </c>
      <c r="I7" s="15">
        <f t="shared" ref="I7:I16" si="0">G7*H7</f>
        <v>500000</v>
      </c>
    </row>
    <row r="8" spans="1:13" ht="20.100000000000001" customHeight="1" x14ac:dyDescent="0.2">
      <c r="A8" s="7" t="s">
        <v>0</v>
      </c>
      <c r="D8" s="33"/>
      <c r="E8" s="13"/>
      <c r="F8" s="97"/>
      <c r="G8" s="19"/>
      <c r="H8" s="19"/>
      <c r="I8" s="15">
        <f t="shared" si="0"/>
        <v>0</v>
      </c>
    </row>
    <row r="9" spans="1:13" ht="20.100000000000001" customHeight="1" x14ac:dyDescent="0.2">
      <c r="A9" s="5" t="str">
        <f>HYPERLINK("#'Input - Enterprise'!A1", "Enterprise")</f>
        <v>Enterprise</v>
      </c>
      <c r="D9" s="33"/>
      <c r="E9" s="13"/>
      <c r="F9" s="97"/>
      <c r="G9" s="19"/>
      <c r="H9" s="19"/>
      <c r="I9" s="15">
        <f t="shared" si="0"/>
        <v>0</v>
      </c>
    </row>
    <row r="10" spans="1:13" ht="20.100000000000001" customHeight="1" x14ac:dyDescent="0.2">
      <c r="A10" s="5" t="str">
        <f>HYPERLINK("#'Input - Site'!A1", "Site")</f>
        <v>Site</v>
      </c>
      <c r="D10" s="33"/>
      <c r="E10" s="13"/>
      <c r="F10" s="97"/>
      <c r="G10" s="19"/>
      <c r="H10" s="19"/>
      <c r="I10" s="15">
        <f t="shared" si="0"/>
        <v>0</v>
      </c>
    </row>
    <row r="11" spans="1:13" ht="20.100000000000001" customHeight="1" x14ac:dyDescent="0.2">
      <c r="A11" s="5" t="str">
        <f>HYPERLINK("#'Input - Poultry'!A1", "Poultry")</f>
        <v>Poultry</v>
      </c>
      <c r="D11" s="33"/>
      <c r="E11" s="13"/>
      <c r="F11" s="97"/>
      <c r="G11" s="19"/>
      <c r="H11" s="19"/>
      <c r="I11" s="15">
        <f t="shared" si="0"/>
        <v>0</v>
      </c>
    </row>
    <row r="12" spans="1:13" ht="20.100000000000001" customHeight="1" x14ac:dyDescent="0.2">
      <c r="A12" s="100" t="str">
        <f>HYPERLINK("#'Input - Livestock sales'!A1", "Livestock sales")</f>
        <v>Livestock sales</v>
      </c>
      <c r="D12" s="33"/>
      <c r="E12" s="13"/>
      <c r="F12" s="97"/>
      <c r="G12" s="19"/>
      <c r="H12" s="19"/>
      <c r="I12" s="15">
        <f t="shared" si="0"/>
        <v>0</v>
      </c>
    </row>
    <row r="13" spans="1:13" ht="20.100000000000001" customHeight="1" x14ac:dyDescent="0.2">
      <c r="A13" s="5" t="str">
        <f>HYPERLINK("#'Input - Poultry purchases'!A1", "Poultry purchases")</f>
        <v>Poultry purchases</v>
      </c>
      <c r="D13" s="33"/>
      <c r="E13" s="13"/>
      <c r="F13" s="97"/>
      <c r="G13" s="19"/>
      <c r="H13" s="19"/>
      <c r="I13" s="15">
        <f t="shared" si="0"/>
        <v>0</v>
      </c>
    </row>
    <row r="14" spans="1:13" ht="20.100000000000001" customHeight="1" x14ac:dyDescent="0.2">
      <c r="A14" s="5" t="str">
        <f>HYPERLINK("#'Input - Fuel'!A1", "Fuel")</f>
        <v>Fuel</v>
      </c>
      <c r="D14" s="33"/>
      <c r="E14" s="13"/>
      <c r="F14" s="97"/>
      <c r="G14" s="19"/>
      <c r="H14" s="19"/>
      <c r="I14" s="15">
        <f t="shared" si="0"/>
        <v>0</v>
      </c>
    </row>
    <row r="15" spans="1:13" ht="20.100000000000001" customHeight="1" x14ac:dyDescent="0.2">
      <c r="A15" s="5" t="str">
        <f>HYPERLINK("#'Input - Electricity'!A1", "Electricity")</f>
        <v>Electricity</v>
      </c>
      <c r="D15" s="33"/>
      <c r="E15" s="13"/>
      <c r="F15" s="97"/>
      <c r="G15" s="19"/>
      <c r="H15" s="19"/>
      <c r="I15" s="15">
        <f t="shared" si="0"/>
        <v>0</v>
      </c>
    </row>
    <row r="16" spans="1:13" ht="20.100000000000001" customHeight="1" x14ac:dyDescent="0.2">
      <c r="A16" s="5" t="str">
        <f>HYPERLINK("#'Input - Common farm inputs'!A1", "Common farm inputs")</f>
        <v>Common farm inputs</v>
      </c>
      <c r="D16" s="33"/>
      <c r="E16" s="13"/>
      <c r="F16" s="97"/>
      <c r="G16" s="19"/>
      <c r="H16" s="19"/>
      <c r="I16" s="15">
        <f t="shared" si="0"/>
        <v>0</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1">
    <dataValidation type="list" allowBlank="1" showInputMessage="1" showErrorMessage="1" sqref="E7:E16" xr:uid="{083DF14A-00E2-452A-8599-A053B3BDEC80}">
      <formula1>INDIRECT("Table_SourceData_Poultry_Liveweights[Livestock class j]")</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B0A1-421C-459C-AD30-246CDC9E5A4C}">
  <sheetPr>
    <tabColor theme="5" tint="-0.249977111117893"/>
  </sheetPr>
  <dimension ref="A1:J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9" width="30.5703125" style="1" customWidth="1"/>
    <col min="10" max="10" width="4.5703125" style="1" customWidth="1"/>
  </cols>
  <sheetData>
    <row r="1" spans="1:10" ht="30" customHeight="1" x14ac:dyDescent="0.35">
      <c r="A1" s="10" t="e" vm="1">
        <v>#VALUE!</v>
      </c>
      <c r="C1" s="10" t="s">
        <v>941</v>
      </c>
      <c r="D1" s="10"/>
      <c r="E1" s="10"/>
      <c r="F1" s="10"/>
      <c r="G1" s="10"/>
      <c r="H1" s="10"/>
      <c r="I1" s="10"/>
      <c r="J1" s="10"/>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87" t="s">
        <v>942</v>
      </c>
      <c r="E5" s="239"/>
      <c r="F5" s="239"/>
      <c r="G5" s="239"/>
      <c r="H5" s="239"/>
    </row>
    <row r="6" spans="1:10" ht="20.100000000000001" customHeight="1" x14ac:dyDescent="0.2">
      <c r="D6" s="240" t="s">
        <v>259</v>
      </c>
      <c r="E6" s="240" t="s">
        <v>260</v>
      </c>
      <c r="F6" s="240" t="s">
        <v>943</v>
      </c>
      <c r="G6" s="240" t="s">
        <v>944</v>
      </c>
      <c r="H6" s="240" t="s">
        <v>945</v>
      </c>
    </row>
    <row r="7" spans="1:10" ht="20.100000000000001" customHeight="1" x14ac:dyDescent="0.2">
      <c r="D7" s="33" t="s">
        <v>946</v>
      </c>
      <c r="E7" s="13" t="s">
        <v>947</v>
      </c>
      <c r="F7" s="74">
        <v>100</v>
      </c>
      <c r="G7" s="15" cm="1">
        <f t="array" ref="G7">Common_InputFunctions.Utility_LookupValueInTableNumber(Table_Input_LivestockPurchases_Poultry[[#This Row],[Class (select)]], Table_SourceData_Poultry_Liveweights[Livestock class j],Table_SourceData_Poultry_Liveweights[Average liveweight (kg)])</f>
        <v>1.3</v>
      </c>
      <c r="H7" s="74">
        <v>1.3</v>
      </c>
    </row>
    <row r="8" spans="1:10" ht="20.100000000000001" customHeight="1" x14ac:dyDescent="0.2">
      <c r="A8" s="7" t="s">
        <v>0</v>
      </c>
      <c r="D8" s="33" t="s">
        <v>948</v>
      </c>
      <c r="E8" s="84" t="s">
        <v>949</v>
      </c>
      <c r="F8" s="74">
        <v>100</v>
      </c>
      <c r="G8" s="15" cm="1">
        <f t="array" ref="G8">Common_InputFunctions.Utility_LookupValueInTableNumber(Table_Input_LivestockPurchases_Poultry[[#This Row],[Class (select)]], Table_SourceData_Poultry_Liveweights[Livestock class j],Table_SourceData_Poultry_Liveweights[Average liveweight (kg)])</f>
        <v>1.4</v>
      </c>
      <c r="H8" s="74">
        <v>1.4</v>
      </c>
    </row>
    <row r="9" spans="1:10" ht="20.100000000000001" customHeight="1" x14ac:dyDescent="0.2">
      <c r="A9" s="5" t="str">
        <f>HYPERLINK("#'Input - Enterprise'!A1", "Enterprise")</f>
        <v>Enterprise</v>
      </c>
      <c r="D9" s="33"/>
      <c r="E9" s="84"/>
      <c r="F9" s="74"/>
      <c r="G9" s="15" cm="1">
        <f t="array" ref="G9">Common_InputFunctions.Utility_LookupValueInTableNumber(Table_Input_LivestockPurchases_Poultry[[#This Row],[Class (select)]], Table_SourceData_Poultry_Liveweights[Livestock class j],Table_SourceData_Poultry_Liveweights[Average liveweight (kg)])</f>
        <v>0</v>
      </c>
      <c r="H9" s="74"/>
    </row>
    <row r="10" spans="1:10" ht="20.100000000000001" customHeight="1" x14ac:dyDescent="0.2">
      <c r="A10" s="5" t="str">
        <f>HYPERLINK("#'Input - Site'!A1", "Site")</f>
        <v>Site</v>
      </c>
      <c r="D10" s="33"/>
      <c r="E10" s="84"/>
      <c r="F10" s="74"/>
      <c r="G10" s="15" cm="1">
        <f t="array" ref="G10">Common_InputFunctions.Utility_LookupValueInTableNumber(Table_Input_LivestockPurchases_Poultry[[#This Row],[Class (select)]], Table_SourceData_Poultry_Liveweights[Livestock class j],Table_SourceData_Poultry_Liveweights[Average liveweight (kg)])</f>
        <v>0</v>
      </c>
      <c r="H10" s="74"/>
    </row>
    <row r="11" spans="1:10" ht="20.100000000000001" customHeight="1" x14ac:dyDescent="0.2">
      <c r="A11" s="5" t="str">
        <f>HYPERLINK("#'Input - Poultry'!A1", "Poultry")</f>
        <v>Poultry</v>
      </c>
      <c r="D11" s="33"/>
      <c r="E11" s="84"/>
      <c r="F11" s="74"/>
      <c r="G11" s="15" cm="1">
        <f t="array" ref="G11">Common_InputFunctions.Utility_LookupValueInTableNumber(Table_Input_LivestockPurchases_Poultry[[#This Row],[Class (select)]], Table_SourceData_Poultry_Liveweights[Livestock class j],Table_SourceData_Poultry_Liveweights[Average liveweight (kg)])</f>
        <v>0</v>
      </c>
      <c r="H11" s="74"/>
    </row>
    <row r="12" spans="1:10" ht="20.100000000000001" customHeight="1" x14ac:dyDescent="0.2">
      <c r="A12" s="5" t="str">
        <f>HYPERLINK("#'Input - Livestock sales'!A1", "Livestock sales")</f>
        <v>Livestock sales</v>
      </c>
      <c r="D12" s="33"/>
      <c r="E12" s="84"/>
      <c r="F12" s="74"/>
      <c r="G12" s="15" cm="1">
        <f t="array" ref="G12">Common_InputFunctions.Utility_LookupValueInTableNumber(Table_Input_LivestockPurchases_Poultry[[#This Row],[Class (select)]], Table_SourceData_Poultry_Liveweights[Livestock class j],Table_SourceData_Poultry_Liveweights[Average liveweight (kg)])</f>
        <v>0</v>
      </c>
      <c r="H12" s="74"/>
    </row>
    <row r="13" spans="1:10" ht="20.100000000000001" customHeight="1" x14ac:dyDescent="0.2">
      <c r="A13" s="100" t="str">
        <f>HYPERLINK("#'Input - Poultry purchases'!A1", "Poultry purchases")</f>
        <v>Poultry purchases</v>
      </c>
      <c r="D13" s="33"/>
      <c r="E13" s="84"/>
      <c r="F13" s="74"/>
      <c r="G13" s="15" cm="1">
        <f t="array" ref="G13">Common_InputFunctions.Utility_LookupValueInTableNumber(Table_Input_LivestockPurchases_Poultry[[#This Row],[Class (select)]], Table_SourceData_Poultry_Liveweights[Livestock class j],Table_SourceData_Poultry_Liveweights[Average liveweight (kg)])</f>
        <v>0</v>
      </c>
      <c r="H13" s="74"/>
    </row>
    <row r="14" spans="1:10" ht="20.100000000000001" customHeight="1" x14ac:dyDescent="0.2">
      <c r="A14" s="5" t="str">
        <f>HYPERLINK("#'Input - Fuel'!A1", "Fuel")</f>
        <v>Fuel</v>
      </c>
      <c r="D14" s="33"/>
      <c r="E14" s="84"/>
      <c r="F14" s="74"/>
      <c r="G14" s="15" cm="1">
        <f t="array" ref="G14">Common_InputFunctions.Utility_LookupValueInTableNumber(Table_Input_LivestockPurchases_Poultry[[#This Row],[Class (select)]], Table_SourceData_Poultry_Liveweights[Livestock class j],Table_SourceData_Poultry_Liveweights[Average liveweight (kg)])</f>
        <v>0</v>
      </c>
      <c r="H14" s="74"/>
    </row>
    <row r="15" spans="1:10" ht="20.100000000000001" customHeight="1" x14ac:dyDescent="0.2">
      <c r="A15" s="5" t="str">
        <f>HYPERLINK("#'Input - Electricity'!A1", "Electricity")</f>
        <v>Electricity</v>
      </c>
      <c r="D15" s="33"/>
      <c r="E15" s="84"/>
      <c r="F15" s="74"/>
      <c r="G15" s="15" cm="1">
        <f t="array" ref="G15">Common_InputFunctions.Utility_LookupValueInTableNumber(Table_Input_LivestockPurchases_Poultry[[#This Row],[Class (select)]], Table_SourceData_Poultry_Liveweights[Livestock class j],Table_SourceData_Poultry_Liveweights[Average liveweight (kg)])</f>
        <v>0</v>
      </c>
      <c r="H15" s="74"/>
    </row>
    <row r="16" spans="1:10" ht="20.100000000000001" customHeight="1" x14ac:dyDescent="0.2">
      <c r="A16" s="5" t="str">
        <f>HYPERLINK("#'Input - Common farm inputs'!A1", "Common farm inputs")</f>
        <v>Common farm inputs</v>
      </c>
      <c r="D16" s="33"/>
      <c r="E16" s="84"/>
      <c r="F16" s="74"/>
      <c r="G16" s="15" cm="1">
        <f t="array" ref="G16">Common_InputFunctions.Utility_LookupValueInTableNumber(Table_Input_LivestockPurchases_Poultry[[#This Row],[Class (select)]], Table_SourceData_Poultry_Liveweights[Livestock class j],Table_SourceData_Poultry_Liveweights[Average liveweight (kg)])</f>
        <v>0</v>
      </c>
      <c r="H16" s="74"/>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1">
    <dataValidation type="list" allowBlank="1" showInputMessage="1" showErrorMessage="1" sqref="E7:E16" xr:uid="{8B90E8E9-B66A-45C6-8B0C-5FE7F7272852}">
      <formula1>INDIRECT("Table_SourceData_Poultry_Liveweights[Livestock class j]")</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F39C-F049-430F-9B45-723B09CD5C1A}">
  <sheetPr>
    <tabColor theme="5" tint="-0.249977111117893"/>
  </sheetPr>
  <dimension ref="A1:K346"/>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584</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585</v>
      </c>
      <c r="E5" s="24"/>
      <c r="F5" s="24"/>
      <c r="G5" s="24"/>
      <c r="H5" s="24"/>
    </row>
    <row r="6" spans="1:11" ht="20.100000000000001" customHeight="1" x14ac:dyDescent="0.2">
      <c r="D6" s="8"/>
      <c r="E6" s="8"/>
      <c r="F6" s="8"/>
      <c r="G6" s="8"/>
      <c r="H6" s="8"/>
      <c r="I6" s="8"/>
      <c r="J6" s="8"/>
    </row>
    <row r="7" spans="1:11" ht="20.100000000000001" customHeight="1" x14ac:dyDescent="0.2">
      <c r="D7" s="1" t="s">
        <v>586</v>
      </c>
    </row>
    <row r="8" spans="1:11" ht="20.100000000000001" customHeight="1" x14ac:dyDescent="0.2">
      <c r="A8" s="7" t="s">
        <v>0</v>
      </c>
      <c r="D8" s="1" t="s">
        <v>587</v>
      </c>
    </row>
    <row r="9" spans="1:11" ht="20.100000000000001" customHeight="1" x14ac:dyDescent="0.2">
      <c r="A9" s="5" t="str">
        <f>HYPERLINK("#'Input - Enterprise'!A1", "Enterprise")</f>
        <v>Enterprise</v>
      </c>
      <c r="D9" s="1" t="s">
        <v>588</v>
      </c>
    </row>
    <row r="10" spans="1:11" ht="20.100000000000001" customHeight="1" x14ac:dyDescent="0.2">
      <c r="A10" s="5" t="str">
        <f>HYPERLINK("#'Input - Site'!A1", "Site")</f>
        <v>Site</v>
      </c>
    </row>
    <row r="11" spans="1:11" ht="20.100000000000001" customHeight="1" x14ac:dyDescent="0.2">
      <c r="A11" s="5" t="str">
        <f>HYPERLINK("#'Input - Poultry'!A1", "Poultry")</f>
        <v>Poultry</v>
      </c>
      <c r="D11" s="1" t="s">
        <v>589</v>
      </c>
      <c r="E11" s="13" t="s">
        <v>590</v>
      </c>
      <c r="F11" s="16" t="s">
        <v>100</v>
      </c>
    </row>
    <row r="12" spans="1:11" ht="20.100000000000001" customHeight="1" x14ac:dyDescent="0.2">
      <c r="A12" s="5" t="str">
        <f>HYPERLINK("#'Input - Livestock sales'!A1", "Livestock sales")</f>
        <v>Livestock sales</v>
      </c>
    </row>
    <row r="13" spans="1:11" ht="20.100000000000001" customHeight="1" x14ac:dyDescent="0.2">
      <c r="A13" s="5" t="str">
        <f>HYPERLINK("#'Input - Poultry purchases'!A1", "Poultry purchases")</f>
        <v>Poultry purchases</v>
      </c>
      <c r="D13" s="131" t="s">
        <v>557</v>
      </c>
      <c r="E13" s="43"/>
      <c r="F13" s="43"/>
      <c r="G13" s="43"/>
      <c r="H13" s="44"/>
    </row>
    <row r="14" spans="1:11" ht="20.100000000000001" customHeight="1" x14ac:dyDescent="0.2">
      <c r="A14" s="100" t="str">
        <f>HYPERLINK("#'Input - Fuel'!A1", "Fuel")</f>
        <v>Fuel</v>
      </c>
      <c r="D14" s="45" t="s">
        <v>591</v>
      </c>
      <c r="E14" s="46"/>
      <c r="F14" s="46"/>
      <c r="G14" s="46"/>
      <c r="H14" s="47"/>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78" t="s">
        <v>592</v>
      </c>
      <c r="E16" s="78" t="s">
        <v>593</v>
      </c>
      <c r="F16" s="78" t="s">
        <v>594</v>
      </c>
      <c r="G16" s="78" t="s">
        <v>595</v>
      </c>
      <c r="H16" s="78" t="s">
        <v>596</v>
      </c>
      <c r="I16" s="78" t="s">
        <v>597</v>
      </c>
      <c r="J16" s="78" t="s">
        <v>598</v>
      </c>
    </row>
    <row r="17" spans="1:10" ht="20.100000000000001" customHeight="1" x14ac:dyDescent="0.2">
      <c r="A17" s="5" t="str">
        <f>HYPERLINK("#'Input - Livestock farm Inputs'!A1", "Livestock farm Inputs")</f>
        <v>Livestock farm Inputs</v>
      </c>
      <c r="D17" s="13" t="s">
        <v>599</v>
      </c>
      <c r="E17" s="13" t="s">
        <v>600</v>
      </c>
      <c r="F17" s="149">
        <v>100</v>
      </c>
      <c r="G17" s="15" t="str" cm="1">
        <f t="array" ref="G17">Common_InputFunctions.Utility_LookupValueInTable(Table_Input_Fuel[[#This Row],[Fuel type (select)]],Table_FuelTypes_Units[Fuel type], Table_FuelTypes_Units[Input Unit])</f>
        <v>GJ</v>
      </c>
      <c r="H17" s="150">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599</v>
      </c>
      <c r="E18" s="13" t="s">
        <v>601</v>
      </c>
      <c r="F18" s="149">
        <v>10000</v>
      </c>
      <c r="G18" s="15" t="str" cm="1">
        <f t="array" ref="G18">Common_InputFunctions.Utility_LookupValueInTable(Table_Input_Fuel[[#This Row],[Fuel type (select)]],Table_FuelTypes_Units[Fuel type], Table_FuelTypes_Units[Input Unit])</f>
        <v>L</v>
      </c>
      <c r="H18" s="151">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602</v>
      </c>
      <c r="E19" s="13" t="s">
        <v>603</v>
      </c>
      <c r="F19" s="149">
        <v>10000</v>
      </c>
      <c r="G19" s="15" t="str" cm="1">
        <f t="array" ref="G19">Common_InputFunctions.Utility_LookupValueInTable(Table_Input_Fuel[[#This Row],[Fuel type (select)]],Table_FuelTypes_Units[Fuel type], Table_FuelTypes_Units[Input Unit])</f>
        <v>L</v>
      </c>
      <c r="H19" s="151">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Manure sent off-site'!A1", "Manure sent off-site")</f>
        <v>Manure sent off-site</v>
      </c>
      <c r="D20" s="13" t="s">
        <v>604</v>
      </c>
      <c r="E20" s="13" t="s">
        <v>603</v>
      </c>
      <c r="F20" s="149">
        <v>10000</v>
      </c>
      <c r="G20" s="15" t="str" cm="1">
        <f t="array" ref="G20">Common_InputFunctions.Utility_LookupValueInTable(Table_Input_Fuel[[#This Row],[Fuel type (select)]],Table_FuelTypes_Units[Fuel type], Table_FuelTypes_Units[Input Unit])</f>
        <v>L</v>
      </c>
      <c r="H20" s="151">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Data quality'!A1", "Data quality")</f>
        <v>Data quality</v>
      </c>
      <c r="D21" s="84" t="s">
        <v>605</v>
      </c>
      <c r="E21" s="84" t="s">
        <v>606</v>
      </c>
      <c r="F21" s="149">
        <v>10000</v>
      </c>
      <c r="G21" s="152" t="str" cm="1">
        <f t="array" ref="G21">Common_InputFunctions.Utility_LookupValueInTable(Table_Input_Fuel[[#This Row],[Fuel type (select)]],Table_FuelTypes_Units[Fuel type], Table_FuelTypes_Units[Input Unit])</f>
        <v>L</v>
      </c>
      <c r="H21" s="153">
        <f>1</f>
        <v>1</v>
      </c>
      <c r="I21" s="152">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row>
    <row r="26" spans="1:10" ht="20.100000000000001" customHeight="1" x14ac:dyDescent="0.2">
      <c r="A26" s="6" t="s">
        <v>2</v>
      </c>
    </row>
    <row r="27" spans="1:10" ht="20.100000000000001" customHeight="1" x14ac:dyDescent="0.2">
      <c r="A27" s="5" t="str">
        <f>HYPERLINK("#'4.6.1.1-2 Methane'!A1", "4.6.1.1-2 Manure Methane")</f>
        <v>4.6.1.1-2 Manure Methane</v>
      </c>
    </row>
    <row r="28" spans="1:10" ht="20.100000000000001" customHeight="1" x14ac:dyDescent="0.2">
      <c r="A28" s="5" t="str">
        <f>HYPERLINK("#'4.6.1.3-4 Direct N20'!A1", "4.6.1.3-4 Manure Direct N2O")</f>
        <v>4.6.1.3-4 Manure Direct N2O</v>
      </c>
    </row>
    <row r="29" spans="1:10" ht="20.100000000000001" customHeight="1" x14ac:dyDescent="0.2">
      <c r="A29" s="5" t="str">
        <f>HYPERLINK("#'4.6.1.5-6 Atmos Dep'!A1", "4.6.1.5-6 Manure Atmos Dep")</f>
        <v>4.6.1.5-6 Manure Atmos Dep</v>
      </c>
    </row>
    <row r="30" spans="1:10" ht="20.100000000000001" customHeight="1" x14ac:dyDescent="0.2">
      <c r="A30" s="5" t="str">
        <f>HYPERLINK("#'4.6.1.7-8 Leaching and runoff'!A1", "4.6.1.7-8 Manure Leaching and runoff")</f>
        <v>4.6.1.7-8 Manure Leaching and runoff</v>
      </c>
    </row>
    <row r="31" spans="1:10" ht="20.100000000000001" customHeight="1" x14ac:dyDescent="0.2">
      <c r="A31" s="5" t="str">
        <f>HYPERLINK("#'4.6.1.9 Manure applied to soils'!A1", "4.6.1.9 Manure applied to soils")</f>
        <v>4.6.1.9 Manure applied to soils</v>
      </c>
    </row>
    <row r="32" spans="1:10" ht="20.100000000000001" customHeight="1" x14ac:dyDescent="0.2">
      <c r="A32" s="5" t="str">
        <f>HYPERLINK("#'4.6.1.10-11 Soil direct N2O'!A1", "4.6.1.10-11 Soil direct N2O")</f>
        <v>4.6.1.10-11 Soil direct N2O</v>
      </c>
    </row>
    <row r="33" spans="1:11" ht="20.100000000000001" customHeight="1" x14ac:dyDescent="0.2">
      <c r="A33" s="5" t="str">
        <f>HYPERLINK("#'4.6.1.12-13 Soil atmos dep'!A1", "4.6.1.12-13 Soil atmos dep")</f>
        <v>4.6.1.12-13 Soil atmos dep</v>
      </c>
    </row>
    <row r="34" spans="1:11" ht="20.100000000000001" customHeight="1" x14ac:dyDescent="0.2">
      <c r="A34" s="5" t="str">
        <f>HYPERLINK("#'4.6.1.14-15 Soil leach runoff'!A1", "4.6.1.14-15 Soil leach runoff")</f>
        <v>4.6.1.14-15 Soil leach runoff</v>
      </c>
    </row>
    <row r="35" spans="1:11" ht="20.100000000000001" customHeight="1" x14ac:dyDescent="0.2">
      <c r="A35" s="5" t="str">
        <f>HYPERLINK("#'8.1.1.1-2 Transport fuel'!A1", "8.1.1.1-2 Transport fuel")</f>
        <v>8.1.1.1-2 Transport fuel</v>
      </c>
    </row>
    <row r="36" spans="1:11" ht="20.100000000000001" customHeight="1" x14ac:dyDescent="0.2">
      <c r="A36" s="5" t="str">
        <f>HYPERLINK("#'8.2.1.1-2 Stationary fuel'!A1", "8.2.1.1-2 Stationary fuel")</f>
        <v>8.2.1.1-2 Stationary fuel</v>
      </c>
    </row>
    <row r="37" spans="1:11" ht="20.100000000000001" customHeight="1" x14ac:dyDescent="0.2">
      <c r="A37" s="5" t="str">
        <f>HYPERLINK("#'10.1.1-2 Solid waste treatment'!A1", "10.1.1.1-2 Solid waste")</f>
        <v>10.1.1.1-2 Solid waste</v>
      </c>
    </row>
    <row r="38" spans="1:11" ht="20.100000000000001" customHeight="1" x14ac:dyDescent="0.2">
      <c r="A38" s="5" t="str">
        <f>HYPERLINK("#'14.1.1-2 Purchased electricity'!A1", "14.1.1-2 Purchased electricity")</f>
        <v>14.1.1-2 Purchased electricity</v>
      </c>
      <c r="C38" s="142"/>
      <c r="K38" s="142"/>
    </row>
    <row r="39" spans="1:11" ht="20.100000000000001" customHeight="1" x14ac:dyDescent="0.2">
      <c r="A39" s="5" t="str">
        <f>HYPERLINK("#'15 Scope 3'!A1", "15 Scope 3")</f>
        <v>15 Scope 3</v>
      </c>
      <c r="C39" s="142"/>
      <c r="K39" s="142"/>
    </row>
    <row r="40" spans="1:11" s="140" customFormat="1" ht="20.100000000000001" customHeight="1" x14ac:dyDescent="0.2">
      <c r="A40" s="5" t="str">
        <f>HYPERLINK("#'Calcs - Manure sent off-site'!A1", "Calcs - Manure sent off-site")</f>
        <v>Calcs - Manure sent off-site</v>
      </c>
      <c r="C40" s="1"/>
      <c r="D40" s="1"/>
      <c r="E40" s="1"/>
      <c r="F40" s="1"/>
      <c r="G40" s="1"/>
      <c r="H40" s="1"/>
      <c r="I40" s="1"/>
      <c r="J40" s="1"/>
      <c r="K40" s="1"/>
    </row>
    <row r="41" spans="1:11" s="140" customFormat="1" ht="20.100000000000001" customHeight="1" x14ac:dyDescent="0.2">
      <c r="A41" s="5" t="str">
        <f>HYPERLINK("#'5.1.1.1-2 Inorganic fert N2O'!A1", "5.1.1.1-2 Inorganic fert N2O")</f>
        <v>5.1.1.1-2 Inorganic fert N2O</v>
      </c>
      <c r="C41" s="1"/>
      <c r="D41" s="1"/>
      <c r="E41" s="1"/>
      <c r="F41" s="1"/>
      <c r="G41" s="1"/>
      <c r="H41" s="1"/>
      <c r="I41" s="1"/>
      <c r="J41" s="1"/>
      <c r="K41" s="1"/>
    </row>
    <row r="42" spans="1:11" ht="20.100000000000001" customHeight="1" x14ac:dyDescent="0.2">
      <c r="A42" s="5" t="str">
        <f>HYPERLINK("#'5.1.1.3-4 Inorganic fert CO2'!A1", "5.1.1.3-4 Inorganic fert CO2")</f>
        <v>5.1.1.3-4 Inorganic fert CO2</v>
      </c>
    </row>
    <row r="43" spans="1:11" ht="20.100000000000001" customHeight="1" x14ac:dyDescent="0.2">
      <c r="A43" s="5" t="str">
        <f>HYPERLINK("#'5.2.1.1-2 Organic Fert N2O'!A1", "5.2.1.1-2 Organic Fert N2O")</f>
        <v>5.2.1.1-2 Organic Fert N2O</v>
      </c>
    </row>
    <row r="44" spans="1:11" ht="20.100000000000001" customHeight="1" x14ac:dyDescent="0.2">
      <c r="A44" s="5" t="str">
        <f>HYPERLINK("#'5.3.1.1-2 Lime CO2'!A1", "5.3.1.1-2 Lime CO2")</f>
        <v>5.3.1.1-2 Lime CO2</v>
      </c>
    </row>
    <row r="45" spans="1:11" ht="20.100000000000001" customHeight="1" x14ac:dyDescent="0.2">
      <c r="A45" s="5" t="str">
        <f>HYPERLINK("#'5.4.1.1-4 Atmos deposition'!A1", "5.4.1.1-4 Atmos deposition")</f>
        <v>5.4.1.1-4 Atmos deposition</v>
      </c>
    </row>
    <row r="46" spans="1: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row r="346" spans="4:4" ht="20.100000000000001" customHeight="1" x14ac:dyDescent="0.2">
      <c r="D346" s="87"/>
    </row>
  </sheetData>
  <conditionalFormatting sqref="F32">
    <cfRule type="cellIs" dxfId="77" priority="9" operator="lessThan">
      <formula>0</formula>
    </cfRule>
  </conditionalFormatting>
  <conditionalFormatting sqref="F111:F112">
    <cfRule type="cellIs" dxfId="76" priority="8" operator="lessThan">
      <formula>0</formula>
    </cfRule>
  </conditionalFormatting>
  <conditionalFormatting sqref="F123:F124">
    <cfRule type="cellIs" dxfId="75" priority="7" operator="lessThan">
      <formula>0</formula>
    </cfRule>
  </conditionalFormatting>
  <conditionalFormatting sqref="F135:F136">
    <cfRule type="cellIs" dxfId="74" priority="6" operator="lessThan">
      <formula>0</formula>
    </cfRule>
  </conditionalFormatting>
  <conditionalFormatting sqref="F147:F148">
    <cfRule type="cellIs" dxfId="73" priority="5" operator="lessThan">
      <formula>0</formula>
    </cfRule>
  </conditionalFormatting>
  <conditionalFormatting sqref="F235:F236">
    <cfRule type="cellIs" dxfId="72" priority="17" operator="lessThan">
      <formula>0</formula>
    </cfRule>
  </conditionalFormatting>
  <conditionalFormatting sqref="F240:F241">
    <cfRule type="cellIs" dxfId="71" priority="16" operator="lessThan">
      <formula>0</formula>
    </cfRule>
  </conditionalFormatting>
  <conditionalFormatting sqref="F245:F246">
    <cfRule type="cellIs" dxfId="70" priority="15" operator="lessThan">
      <formula>0</formula>
    </cfRule>
  </conditionalFormatting>
  <conditionalFormatting sqref="F269:F270">
    <cfRule type="cellIs" dxfId="69" priority="14" operator="lessThan">
      <formula>0</formula>
    </cfRule>
  </conditionalFormatting>
  <conditionalFormatting sqref="F274:F275">
    <cfRule type="cellIs" dxfId="68" priority="13" operator="lessThan">
      <formula>0</formula>
    </cfRule>
  </conditionalFormatting>
  <conditionalFormatting sqref="F279:F280">
    <cfRule type="cellIs" dxfId="67" priority="12" operator="lessThan">
      <formula>0</formula>
    </cfRule>
  </conditionalFormatting>
  <conditionalFormatting sqref="I26:J27 H28:H30 I31:J31 I33:J35 I37:J38 I189:J189 E195:G195 I195:J195">
    <cfRule type="cellIs" dxfId="66" priority="11" operator="lessThan">
      <formula>0</formula>
    </cfRule>
  </conditionalFormatting>
  <conditionalFormatting sqref="I42:J46">
    <cfRule type="cellIs" dxfId="65" priority="4" operator="lessThan">
      <formula>0</formula>
    </cfRule>
  </conditionalFormatting>
  <conditionalFormatting sqref="I50:J50 I109:J109">
    <cfRule type="cellIs" dxfId="64" priority="10" operator="lessThan">
      <formula>0</formula>
    </cfRule>
  </conditionalFormatting>
  <conditionalFormatting sqref="I61:J63">
    <cfRule type="cellIs" dxfId="63" priority="3" operator="lessThan">
      <formula>0</formula>
    </cfRule>
  </conditionalFormatting>
  <conditionalFormatting sqref="I67:J70">
    <cfRule type="cellIs" dxfId="62" priority="2" operator="lessThan">
      <formula>0</formula>
    </cfRule>
  </conditionalFormatting>
  <conditionalFormatting sqref="I74:J78">
    <cfRule type="cellIs" dxfId="61" priority="1" operator="lessThan">
      <formula>0</formula>
    </cfRule>
  </conditionalFormatting>
  <dataValidations count="9">
    <dataValidation type="list" allowBlank="1" showInputMessage="1" showErrorMessage="1" sqref="E17:E21" xr:uid="{158AC071-A227-4E2B-BE22-6E78194C97AE}">
      <formula1>_xlfn.TRIMRANGE(INDIRECT("Table_FuelTypesPerUse["&amp;D17&amp;"]"))</formula1>
    </dataValidation>
    <dataValidation type="list" allowBlank="1" showInputMessage="1" showErrorMessage="1" sqref="D17:D21" xr:uid="{9E246ACB-5430-4111-A7B0-4F3E0987F568}">
      <formula1>INDIRECT("Table_FuelTypesPerUse[#Headers]")</formula1>
    </dataValidation>
    <dataValidation type="list" allowBlank="1" showInputMessage="1" showErrorMessage="1" sqref="E11" xr:uid="{C4AB355D-051A-4010-9DC8-A10CD7A2D1CD}">
      <formula1>"Metro, Non-metro"</formula1>
    </dataValidation>
    <dataValidation type="list" allowBlank="1" showInputMessage="1" showErrorMessage="1" sqref="D29:D30" xr:uid="{D6F2EAB2-F2DA-42CF-B4EE-C354AAA0B423}">
      <formula1>INDIRECT("Table_SourceData_OrganicFertiliserTypes[Organic fertiliser type]")</formula1>
    </dataValidation>
    <dataValidation type="list" allowBlank="1" showInputMessage="1" showErrorMessage="1" sqref="E49" xr:uid="{F4EB45B0-D92A-4280-BA50-E3A1781E8556}">
      <formula1>INDIRECT("Table_SourceData_Swine_CropProdSystems[Production system]")</formula1>
    </dataValidation>
    <dataValidation type="list" allowBlank="1" showInputMessage="1" showErrorMessage="1" sqref="E50" xr:uid="{6754BB7D-F330-4438-BAB0-C504B85F11E0}">
      <formula1>INDIRECT("Table_SourceData_Swine_IrrigationMethods[Irrigation method]")</formula1>
    </dataValidation>
    <dataValidation type="list" allowBlank="1" showInputMessage="1" showErrorMessage="1" sqref="E234 E239 E244 E278 E273 E268 E146 E134 E110 E122" xr:uid="{8284598A-3745-415C-947F-CD62F6D87899}">
      <formula1>"Yes, No"</formula1>
    </dataValidation>
    <dataValidation type="list" allowBlank="1" showInputMessage="1" showErrorMessage="1" sqref="E210" xr:uid="{A7648783-6ED3-49B1-BFE0-4FA608C68F2D}">
      <formula1>INDIRECT("Table_SourceData_Dairy_ProductionSystemTemplates[Area]")</formula1>
    </dataValidation>
    <dataValidation type="list" allowBlank="1" showInputMessage="1" showErrorMessage="1" sqref="D262" xr:uid="{452FB60F-2608-42AE-8B49-BAAA7942DA8A}">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0285-03D9-420A-B54A-7118F9E45463}">
  <sheetPr>
    <tabColor theme="5" tint="-0.249977111117893"/>
  </sheetPr>
  <dimension ref="A1:L365"/>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538</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539</v>
      </c>
      <c r="E5" s="13" t="s">
        <v>540</v>
      </c>
      <c r="F5" s="16" t="s">
        <v>100</v>
      </c>
    </row>
    <row r="6" spans="1:10" ht="20.100000000000001" customHeight="1" x14ac:dyDescent="0.2">
      <c r="E6" s="87"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3"/>
      <c r="D8" s="83"/>
      <c r="E8" s="83"/>
      <c r="F8" s="83"/>
      <c r="G8" s="83"/>
      <c r="H8" s="83"/>
      <c r="I8" s="83"/>
      <c r="J8" s="83"/>
    </row>
    <row r="9" spans="1:10" ht="20.100000000000001" customHeight="1" x14ac:dyDescent="0.2">
      <c r="A9" s="5" t="str">
        <f>HYPERLINK("#'Input - Enterprise'!A1", "Enterprise")</f>
        <v>Enterprise</v>
      </c>
      <c r="D9" s="2" t="s">
        <v>541</v>
      </c>
    </row>
    <row r="10" spans="1:10" ht="20.100000000000001" customHeight="1" x14ac:dyDescent="0.2">
      <c r="A10" s="5" t="str">
        <f>HYPERLINK("#'Input - Site'!A1", "Site")</f>
        <v>Site</v>
      </c>
    </row>
    <row r="11" spans="1:10" ht="20.100000000000001" customHeight="1" x14ac:dyDescent="0.2">
      <c r="A11" s="5" t="str">
        <f>HYPERLINK("#'Input - Poultry'!A1", "Poultry")</f>
        <v>Poultry</v>
      </c>
      <c r="D11" s="77" t="s">
        <v>542</v>
      </c>
    </row>
    <row r="12" spans="1:10" ht="20.100000000000001" customHeight="1" x14ac:dyDescent="0.2">
      <c r="A12" s="5" t="str">
        <f>HYPERLINK("#'Input - Livestock sales'!A1", "Livestock sales")</f>
        <v>Livestock sales</v>
      </c>
    </row>
    <row r="13" spans="1:10" ht="20.100000000000001" customHeight="1" x14ac:dyDescent="0.2">
      <c r="A13" s="5" t="str">
        <f>HYPERLINK("#'Input - Poultry purchases'!A1", "Poultry purchases")</f>
        <v>Poultry purchases</v>
      </c>
      <c r="D13" s="35" t="s">
        <v>543</v>
      </c>
      <c r="E13" s="38"/>
      <c r="F13" s="8"/>
    </row>
    <row r="14" spans="1:10" ht="20.100000000000001" customHeight="1" x14ac:dyDescent="0.2">
      <c r="A14" s="5" t="str">
        <f>HYPERLINK("#'Input - Fuel'!A1", "Fuel")</f>
        <v>Fuel</v>
      </c>
      <c r="D14" s="8"/>
      <c r="E14" s="8"/>
      <c r="F14" s="8"/>
    </row>
    <row r="15" spans="1:10" ht="20.100000000000001" customHeight="1" x14ac:dyDescent="0.2">
      <c r="A15" s="100" t="str">
        <f>HYPERLINK("#'Input - Electricity'!A1", "Electricity")</f>
        <v>Electricity</v>
      </c>
      <c r="D15" s="1" t="s">
        <v>544</v>
      </c>
      <c r="E15" s="138">
        <v>30000</v>
      </c>
      <c r="F15" s="16" t="s">
        <v>545</v>
      </c>
    </row>
    <row r="16" spans="1:10" ht="20.100000000000001" customHeight="1" x14ac:dyDescent="0.2">
      <c r="A16" s="5" t="str">
        <f>HYPERLINK("#'Input - Common farm inputs'!A1", "Common farm inputs")</f>
        <v>Common farm inputs</v>
      </c>
      <c r="D16" s="1" t="s">
        <v>546</v>
      </c>
      <c r="E16" s="15" t="str">
        <f>IF(X_Cell_Site_State="Western Australia", X_Cell_Site_Region, X_Cell_Site_State)</f>
        <v>Western Australia - Outback (South)</v>
      </c>
      <c r="F16" s="8"/>
    </row>
    <row r="17" spans="1:11" ht="20.100000000000001" customHeight="1" x14ac:dyDescent="0.2">
      <c r="A17" s="5" t="str">
        <f>HYPERLINK("#'Input - Livestock farm Inputs'!A1", "Livestock farm Inputs")</f>
        <v>Livestock farm Inputs</v>
      </c>
      <c r="D17" s="1" t="s">
        <v>547</v>
      </c>
      <c r="E17" s="13" t="s">
        <v>548</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c r="C20" s="83"/>
      <c r="D20" s="83"/>
      <c r="E20" s="83"/>
      <c r="F20" s="83"/>
      <c r="G20" s="83"/>
      <c r="H20" s="83"/>
      <c r="I20" s="83"/>
      <c r="J20" s="83"/>
    </row>
    <row r="21" spans="1:11" ht="20.100000000000001" customHeight="1" x14ac:dyDescent="0.2">
      <c r="A21" s="5" t="str">
        <f>HYPERLINK("#'Input - Data quality'!A1", "Data quality")</f>
        <v>Data quality</v>
      </c>
      <c r="D21" s="2" t="s">
        <v>549</v>
      </c>
    </row>
    <row r="22" spans="1:11" ht="20.100000000000001" customHeight="1" x14ac:dyDescent="0.2">
      <c r="A22" s="5" t="str">
        <f>HYPERLINK("#'Input - Fert Prod System'!A1", "Fert Prod System")</f>
        <v>Fert Prod System</v>
      </c>
      <c r="E22" s="87" t="str">
        <f>IF(E16="ACT", "", "ALERT: Your farm is not in the ACT, so the JRPP is not applicable")</f>
        <v>ALERT: Your farm is not in the ACT, so the JRPP is not applicable</v>
      </c>
    </row>
    <row r="23" spans="1:11" ht="20.100000000000001" customHeight="1" x14ac:dyDescent="0.2">
      <c r="A23" s="5" t="str">
        <f>HYPERLINK("#'Input - Fertiliser'!A1", "Fertiliser")</f>
        <v>Fertiliser</v>
      </c>
      <c r="D23" s="1" t="s">
        <v>550</v>
      </c>
      <c r="E23" s="138">
        <v>30000</v>
      </c>
      <c r="F23" s="16" t="s">
        <v>545</v>
      </c>
    </row>
    <row r="24" spans="1:11" ht="20.100000000000001" customHeight="1" x14ac:dyDescent="0.2">
      <c r="D24" s="1" t="s">
        <v>551</v>
      </c>
      <c r="E24" s="18">
        <v>0.1</v>
      </c>
      <c r="F24" s="16" t="s">
        <v>140</v>
      </c>
    </row>
    <row r="25" spans="1:11" ht="20.100000000000001" customHeight="1" x14ac:dyDescent="0.2">
      <c r="D25" s="1" t="s">
        <v>552</v>
      </c>
      <c r="E25" s="18">
        <v>0.1</v>
      </c>
      <c r="F25" s="16" t="s">
        <v>140</v>
      </c>
    </row>
    <row r="26" spans="1:11" ht="20.100000000000001" customHeight="1" x14ac:dyDescent="0.2">
      <c r="A26" s="6" t="s">
        <v>2</v>
      </c>
    </row>
    <row r="27" spans="1:11" ht="20.100000000000001" customHeight="1" x14ac:dyDescent="0.2">
      <c r="A27" s="5" t="str">
        <f>HYPERLINK("#'4.6.1.1-2 Methane'!A1", "4.6.1.1-2 Manure Methane")</f>
        <v>4.6.1.1-2 Manure Methane</v>
      </c>
      <c r="D27" s="1" t="s">
        <v>553</v>
      </c>
      <c r="E27" s="138">
        <v>10000</v>
      </c>
      <c r="F27" s="16" t="s">
        <v>545</v>
      </c>
    </row>
    <row r="28" spans="1:11" ht="20.100000000000001" customHeight="1" x14ac:dyDescent="0.2">
      <c r="A28" s="5" t="str">
        <f>HYPERLINK("#'4.6.1.3-4 Direct N20'!A1", "4.6.1.3-4 Manure Direct N2O")</f>
        <v>4.6.1.3-4 Manure Direct N2O</v>
      </c>
    </row>
    <row r="29" spans="1:11" ht="20.100000000000001" customHeight="1" x14ac:dyDescent="0.2">
      <c r="A29" s="5" t="str">
        <f>HYPERLINK("#'4.6.1.5-6 Atmos Dep'!A1", "4.6.1.5-6 Manure Atmos Dep")</f>
        <v>4.6.1.5-6 Manure Atmos Dep</v>
      </c>
      <c r="D29" s="1" t="s">
        <v>554</v>
      </c>
      <c r="E29" s="139" t="str">
        <f>TEXT(X_Cell_Site_StartDate, "dd mmm yyyy")</f>
        <v>01 Jan 2025</v>
      </c>
      <c r="K29" s="140"/>
    </row>
    <row r="30" spans="1:11" ht="20.100000000000001" customHeight="1" x14ac:dyDescent="0.2">
      <c r="A30" s="5" t="str">
        <f>HYPERLINK("#'4.6.1.7-8 Leaching and runoff'!A1", "4.6.1.7-8 Manure Leaching and runoff")</f>
        <v>4.6.1.7-8 Manure Leaching and runoff</v>
      </c>
      <c r="D30" s="1" t="s">
        <v>555</v>
      </c>
      <c r="E30" s="139" t="str">
        <f>TEXT(X_Cell_Site_EndDate, "dd mmm yyyy")</f>
        <v>31 Dec 2025</v>
      </c>
      <c r="K30" s="140"/>
    </row>
    <row r="31" spans="1:11" ht="20.100000000000001" customHeight="1" x14ac:dyDescent="0.2">
      <c r="A31" s="5" t="str">
        <f>HYPERLINK("#'4.6.1.9 Manure applied to soils'!A1", "4.6.1.9 Manure applied to soils")</f>
        <v>4.6.1.9 Manure applied to soils</v>
      </c>
      <c r="K31" s="140"/>
    </row>
    <row r="32" spans="1:11" ht="20.100000000000001" customHeight="1" x14ac:dyDescent="0.2">
      <c r="A32" s="5" t="str">
        <f>HYPERLINK("#'4.6.1.10-11 Soil direct N2O'!A1", "4.6.1.10-11 Soil direct N2O")</f>
        <v>4.6.1.10-11 Soil direct N2O</v>
      </c>
      <c r="D32" s="77" t="s">
        <v>556</v>
      </c>
      <c r="K32" s="140"/>
    </row>
    <row r="33" spans="1:12" ht="20.100000000000001" customHeight="1" x14ac:dyDescent="0.2">
      <c r="A33" s="5" t="str">
        <f>HYPERLINK("#'4.6.1.12-13 Soil atmos dep'!A1", "4.6.1.12-13 Soil atmos dep")</f>
        <v>4.6.1.12-13 Soil atmos dep</v>
      </c>
      <c r="K33" s="140"/>
    </row>
    <row r="34" spans="1:12" ht="20.100000000000001" customHeight="1" x14ac:dyDescent="0.2">
      <c r="A34" s="5" t="str">
        <f>HYPERLINK("#'4.6.1.14-15 Soil leach runoff'!A1", "4.6.1.14-15 Soil leach runoff")</f>
        <v>4.6.1.14-15 Soil leach runoff</v>
      </c>
      <c r="D34" s="35" t="s">
        <v>557</v>
      </c>
      <c r="E34" s="38"/>
      <c r="K34" s="140"/>
    </row>
    <row r="35" spans="1:12" ht="20.100000000000001" customHeight="1" x14ac:dyDescent="0.2">
      <c r="A35" s="5" t="str">
        <f>HYPERLINK("#'8.1.1.1-2 Transport fuel'!A1", "8.1.1.1-2 Transport fuel")</f>
        <v>8.1.1.1-2 Transport fuel</v>
      </c>
    </row>
    <row r="36" spans="1:12" ht="20.100000000000001" customHeight="1" x14ac:dyDescent="0.2">
      <c r="A36" s="5" t="str">
        <f>HYPERLINK("#'8.2.1.1-2 Stationary fuel'!A1", "8.2.1.1-2 Stationary fuel")</f>
        <v>8.2.1.1-2 Stationary fuel</v>
      </c>
      <c r="D36" s="78" t="s">
        <v>156</v>
      </c>
      <c r="E36" s="78" t="s">
        <v>558</v>
      </c>
      <c r="F36" s="78" t="s">
        <v>559</v>
      </c>
      <c r="G36" s="78" t="s">
        <v>560</v>
      </c>
      <c r="H36" s="78" t="s">
        <v>561</v>
      </c>
      <c r="I36" s="78" t="s">
        <v>562</v>
      </c>
      <c r="L36" s="140"/>
    </row>
    <row r="37" spans="1:12" ht="20.100000000000001" customHeight="1" x14ac:dyDescent="0.2">
      <c r="A37" s="5" t="str">
        <f>HYPERLINK("#'10.1.1-2 Solid waste treatment'!A1", "10.1.1.1-2 Solid waste")</f>
        <v>10.1.1.1-2 Solid waste</v>
      </c>
      <c r="D37" s="19" t="s">
        <v>563</v>
      </c>
      <c r="E37" s="13" t="s">
        <v>564</v>
      </c>
      <c r="F37" s="141">
        <v>44185</v>
      </c>
      <c r="G37" s="19">
        <v>12</v>
      </c>
      <c r="H37" s="15">
        <f>Table_Input_RECSurrendered[[#This Row],[Number of certificates]]</f>
        <v>12</v>
      </c>
      <c r="I37" s="15" t="str">
        <f>IF(DATEDIF(Table_Input_RECSurrendered[[#This Row],[Generation date]],DATEVALUE($E$30),"M")&gt;36,"Ineligible - older than 36 months","Elegible")</f>
        <v>Ineligible - older than 36 months</v>
      </c>
      <c r="L37" s="140"/>
    </row>
    <row r="38" spans="1:12" ht="20.100000000000001" customHeight="1" x14ac:dyDescent="0.2">
      <c r="A38" s="5" t="str">
        <f>HYPERLINK("#'14.1.1-2 Purchased electricity'!A1", "14.1.1-2 Purchased electricity")</f>
        <v>14.1.1-2 Purchased electricity</v>
      </c>
      <c r="D38" s="19" t="s">
        <v>565</v>
      </c>
      <c r="E38" s="13" t="s">
        <v>566</v>
      </c>
      <c r="F38" s="141">
        <v>44575</v>
      </c>
      <c r="G38" s="19">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
      <c r="A39" s="5" t="str">
        <f>HYPERLINK("#'15 Scope 3'!A1", "15 Scope 3")</f>
        <v>15 Scope 3</v>
      </c>
      <c r="D39" s="19" t="s">
        <v>567</v>
      </c>
      <c r="E39" s="13" t="s">
        <v>564</v>
      </c>
      <c r="F39" s="141">
        <v>45438</v>
      </c>
      <c r="G39" s="19">
        <v>5</v>
      </c>
      <c r="H39" s="15">
        <f>Table_Input_RECSurrendered[[#This Row],[Number of certificates]]</f>
        <v>5</v>
      </c>
      <c r="I39" s="15" t="str">
        <f>IF(DATEDIF(Table_Input_RECSurrendered[[#This Row],[Generation date]],DATEVALUE($E$30),"M")&gt;36,"Ineligible - older than 36 months","Elegible")</f>
        <v>Elegible</v>
      </c>
    </row>
    <row r="40" spans="1:12" s="140" customFormat="1" ht="20.100000000000001" customHeight="1" x14ac:dyDescent="0.2">
      <c r="A40" s="5" t="str">
        <f>HYPERLINK("#'Calcs - Manure sent off-site'!A1", "Calcs - Manure sent off-site")</f>
        <v>Calcs - Manure sent off-site</v>
      </c>
      <c r="C40" s="1"/>
      <c r="D40" s="1"/>
      <c r="E40" s="1"/>
      <c r="F40" s="1"/>
      <c r="G40" s="1"/>
      <c r="H40" s="1"/>
      <c r="I40" s="1"/>
      <c r="J40" s="1"/>
    </row>
    <row r="41" spans="1:12" s="140" customFormat="1" ht="20.100000000000001" customHeight="1" x14ac:dyDescent="0.2">
      <c r="A41" s="5" t="str">
        <f>HYPERLINK("#'5.1.1.1-2 Inorganic fert N2O'!A1", "5.1.1.1-2 Inorganic fert N2O")</f>
        <v>5.1.1.1-2 Inorganic fert N2O</v>
      </c>
      <c r="C41" s="1"/>
      <c r="D41" s="1" t="s">
        <v>568</v>
      </c>
      <c r="E41" s="15">
        <f>SUMIF(Table_Input_RECSurrendered[Elegibility], "Elegible", Table_Input_RECSurrendered[MWh])</f>
        <v>5</v>
      </c>
      <c r="F41" s="16" t="s">
        <v>561</v>
      </c>
      <c r="G41" s="1"/>
      <c r="H41" s="1"/>
      <c r="I41" s="1"/>
      <c r="J41" s="1"/>
      <c r="L41" s="140" t="s">
        <v>313</v>
      </c>
    </row>
    <row r="42" spans="1:12" ht="20.100000000000001" customHeight="1" x14ac:dyDescent="0.2">
      <c r="A42" s="5" t="str">
        <f>HYPERLINK("#'5.1.1.3-4 Inorganic fert CO2'!A1", "5.1.1.3-4 Inorganic fert CO2")</f>
        <v>5.1.1.3-4 Inorganic fert CO2</v>
      </c>
      <c r="C42" s="142"/>
    </row>
    <row r="43" spans="1:12" ht="20.100000000000001" customHeight="1" x14ac:dyDescent="0.2">
      <c r="A43" s="5" t="str">
        <f>HYPERLINK("#'5.2.1.1-2 Organic Fert N2O'!A1", "5.2.1.1-2 Organic Fert N2O")</f>
        <v>5.2.1.1-2 Organic Fert N2O</v>
      </c>
      <c r="C43" s="142"/>
      <c r="D43" s="77" t="s">
        <v>569</v>
      </c>
      <c r="J43" s="142"/>
    </row>
    <row r="44" spans="1:12" ht="20.100000000000001" customHeight="1" x14ac:dyDescent="0.2">
      <c r="A44" s="5" t="str">
        <f>HYPERLINK("#'5.3.1.1-2 Lime CO2'!A1", "5.3.1.1-2 Lime CO2")</f>
        <v>5.3.1.1-2 Lime CO2</v>
      </c>
    </row>
    <row r="45" spans="1:12" ht="20.100000000000001" customHeight="1" x14ac:dyDescent="0.2">
      <c r="A45" s="5" t="str">
        <f>HYPERLINK("#'5.4.1.1-4 Atmos deposition'!A1", "5.4.1.1-4 Atmos deposition")</f>
        <v>5.4.1.1-4 Atmos deposition</v>
      </c>
      <c r="D45" s="78" t="s">
        <v>156</v>
      </c>
      <c r="E45" s="78" t="s">
        <v>570</v>
      </c>
      <c r="F45" s="78" t="s">
        <v>559</v>
      </c>
      <c r="G45" s="78" t="s">
        <v>560</v>
      </c>
      <c r="H45" s="78" t="s">
        <v>561</v>
      </c>
      <c r="I45" s="78" t="s">
        <v>562</v>
      </c>
    </row>
    <row r="46" spans="1:12" ht="20.100000000000001" customHeight="1" x14ac:dyDescent="0.2">
      <c r="A46" s="5" t="str">
        <f>HYPERLINK("#'5.5.1.1-2 Leaching and runoff'!A1", "5.5.1.1-2 Leaching and runoff")</f>
        <v>5.5.1.1-2 Leaching and runoff</v>
      </c>
      <c r="D46" s="19" t="s">
        <v>571</v>
      </c>
      <c r="E46" s="143" t="str">
        <f>"Issued for generated electricity"</f>
        <v>Issued for generated electricity</v>
      </c>
      <c r="F46" s="141">
        <v>44697</v>
      </c>
      <c r="G46" s="19">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D47" s="19" t="s">
        <v>572</v>
      </c>
      <c r="E47" s="143" t="str">
        <f>"Issued for generated electricity"</f>
        <v>Issued for generated electricity</v>
      </c>
      <c r="F47" s="141">
        <v>45483</v>
      </c>
      <c r="G47" s="19">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
      <c r="D48" s="144">
        <v>45597</v>
      </c>
      <c r="E48" s="143" t="str">
        <f>"Issued for generated electricity"</f>
        <v>Issued for generated electricity</v>
      </c>
      <c r="F48" s="141">
        <v>45607</v>
      </c>
      <c r="G48" s="19">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49" spans="1:6" ht="20.100000000000001" customHeight="1" x14ac:dyDescent="0.2">
      <c r="A49" s="80" t="s">
        <v>1</v>
      </c>
    </row>
    <row r="50" spans="1:6" ht="20.100000000000001" customHeight="1" x14ac:dyDescent="0.2">
      <c r="A50" s="5" t="str">
        <f>HYPERLINK("#'Constants - Poultry'!A1", "Constants - Poultry")</f>
        <v>Constants - Poultry</v>
      </c>
      <c r="D50" s="1" t="s">
        <v>573</v>
      </c>
      <c r="E50" s="15">
        <f>SUMIF(Table_Input_RECConsumedByEntity[Elegibility], "Elegible", Table_Input_RECConsumedByEntity[Number of certificates])</f>
        <v>0</v>
      </c>
      <c r="F50" s="16" t="s">
        <v>561</v>
      </c>
    </row>
    <row r="51" spans="1:6" ht="20.100000000000001" customHeight="1" x14ac:dyDescent="0.2">
      <c r="A51" s="5" t="str">
        <f>HYPERLINK("#'Constants - Common livestock'!A1", "Constants - Common Livestock")</f>
        <v>Constants - Common Livestock</v>
      </c>
    </row>
    <row r="52" spans="1:6" ht="20.100000000000001" customHeight="1" x14ac:dyDescent="0.2">
      <c r="A52" s="5" t="str">
        <f>HYPERLINK("#'Constants - Electricity'!A1", "Constants - Electricity")</f>
        <v>Constants - Electricity</v>
      </c>
    </row>
    <row r="53" spans="1:6" ht="20.100000000000001" customHeight="1" x14ac:dyDescent="0.2">
      <c r="A53" s="5" t="str">
        <f>HYPERLINK("#'Constants - Fertiliser'!A1", "Constants - Fertiliser")</f>
        <v>Constants - Fertiliser</v>
      </c>
    </row>
    <row r="54" spans="1:6" ht="20.100000000000001" customHeight="1" x14ac:dyDescent="0.2">
      <c r="A54" s="5" t="str">
        <f>HYPERLINK("#'Constants - Fuel'!A1", "Constants - Fuel")</f>
        <v>Constants - Fuel</v>
      </c>
    </row>
    <row r="55" spans="1:6" ht="20.100000000000001" customHeight="1" x14ac:dyDescent="0.2">
      <c r="A55" s="5" t="str">
        <f>HYPERLINK("#'Constants - Scope 3'!A1", "Constants - Scope 3")</f>
        <v>Constants - Scope 3</v>
      </c>
      <c r="D55" s="145"/>
    </row>
    <row r="56" spans="1:6" ht="20.100000000000001" customHeight="1" x14ac:dyDescent="0.2">
      <c r="A56" s="5" t="str">
        <f>HYPERLINK("#'Constants - Solid Waste'!A1", "Constants - Solid Waste")</f>
        <v>Constants - Solid Waste</v>
      </c>
      <c r="D56" s="145"/>
    </row>
    <row r="57" spans="1:6" ht="20.100000000000001" customHeight="1" x14ac:dyDescent="0.2">
      <c r="A57" s="5" t="str">
        <f>HYPERLINK("#'Constants - Common'!A1", "Constants - Common")</f>
        <v>Constants - Common</v>
      </c>
    </row>
    <row r="365" spans="4:4" ht="20.100000000000001" customHeight="1" x14ac:dyDescent="0.2">
      <c r="D365" s="87"/>
    </row>
  </sheetData>
  <conditionalFormatting sqref="F130:F131">
    <cfRule type="cellIs" dxfId="60" priority="8" operator="lessThan">
      <formula>0</formula>
    </cfRule>
  </conditionalFormatting>
  <conditionalFormatting sqref="F142:F143">
    <cfRule type="cellIs" dxfId="59" priority="7" operator="lessThan">
      <formula>0</formula>
    </cfRule>
  </conditionalFormatting>
  <conditionalFormatting sqref="F154:F155">
    <cfRule type="cellIs" dxfId="58" priority="6" operator="lessThan">
      <formula>0</formula>
    </cfRule>
  </conditionalFormatting>
  <conditionalFormatting sqref="F166:F167">
    <cfRule type="cellIs" dxfId="57" priority="5" operator="lessThan">
      <formula>0</formula>
    </cfRule>
  </conditionalFormatting>
  <conditionalFormatting sqref="F254:F255">
    <cfRule type="cellIs" dxfId="56" priority="17" operator="lessThan">
      <formula>0</formula>
    </cfRule>
  </conditionalFormatting>
  <conditionalFormatting sqref="F259:F260">
    <cfRule type="cellIs" dxfId="55" priority="16" operator="lessThan">
      <formula>0</formula>
    </cfRule>
  </conditionalFormatting>
  <conditionalFormatting sqref="F264:F265">
    <cfRule type="cellIs" dxfId="54" priority="15" operator="lessThan">
      <formula>0</formula>
    </cfRule>
  </conditionalFormatting>
  <conditionalFormatting sqref="F288:F289">
    <cfRule type="cellIs" dxfId="53" priority="14" operator="lessThan">
      <formula>0</formula>
    </cfRule>
  </conditionalFormatting>
  <conditionalFormatting sqref="F293:F294">
    <cfRule type="cellIs" dxfId="52" priority="13" operator="lessThan">
      <formula>0</formula>
    </cfRule>
  </conditionalFormatting>
  <conditionalFormatting sqref="F298:F299">
    <cfRule type="cellIs" dxfId="51" priority="12" operator="lessThan">
      <formula>0</formula>
    </cfRule>
  </conditionalFormatting>
  <conditionalFormatting sqref="I59:I63">
    <cfRule type="cellIs" dxfId="50" priority="4" operator="lessThan">
      <formula>0</formula>
    </cfRule>
  </conditionalFormatting>
  <conditionalFormatting sqref="I67 I126">
    <cfRule type="cellIs" dxfId="49" priority="10" operator="lessThan">
      <formula>0</formula>
    </cfRule>
  </conditionalFormatting>
  <conditionalFormatting sqref="I78:I80">
    <cfRule type="cellIs" dxfId="48" priority="3" operator="lessThan">
      <formula>0</formula>
    </cfRule>
  </conditionalFormatting>
  <conditionalFormatting sqref="I84:I87">
    <cfRule type="cellIs" dxfId="47" priority="2" operator="lessThan">
      <formula>0</formula>
    </cfRule>
  </conditionalFormatting>
  <conditionalFormatting sqref="I91:I95">
    <cfRule type="cellIs" dxfId="46" priority="1" operator="lessThan">
      <formula>0</formula>
    </cfRule>
  </conditionalFormatting>
  <conditionalFormatting sqref="J35 I49:I50 H51:H53 I52 I54:I55 I206 I212 E214:G214">
    <cfRule type="cellIs" dxfId="45" priority="11" operator="lessThan">
      <formula>0</formula>
    </cfRule>
  </conditionalFormatting>
  <conditionalFormatting sqref="J39 I40 J41 I43">
    <cfRule type="cellIs" dxfId="44" priority="9" operator="lessThan">
      <formula>0</formula>
    </cfRule>
  </conditionalFormatting>
  <dataValidations count="7">
    <dataValidation type="list" allowBlank="1" showInputMessage="1" showErrorMessage="1" sqref="E5" xr:uid="{57C10EFA-E652-4360-A704-E6C9446C90D2}">
      <formula1>"Location-based (simpler), Market-based (more complex)"</formula1>
    </dataValidation>
    <dataValidation type="list" allowBlank="1" showInputMessage="1" showErrorMessage="1" sqref="E37:E39" xr:uid="{D8375EE2-4736-455E-AEBC-E82565549648}">
      <formula1>"Purchased certificate, Issued for generated electricity"</formula1>
    </dataValidation>
    <dataValidation type="list" allowBlank="1" showInputMessage="1" showErrorMessage="1" sqref="E17" xr:uid="{7752BAFA-86EF-4302-9697-6D1941B619E9}">
      <formula1>INDIRECT("Table_SourceData_ElectricityEFs[State, Territory or grid description]")</formula1>
    </dataValidation>
    <dataValidation type="list" allowBlank="1" showInputMessage="1" showErrorMessage="1" sqref="E69" xr:uid="{33D185B9-5F9A-45B3-A02A-CC766BC5AE9F}">
      <formula1>INDIRECT("Table_SourceData_Swine_IrrigationMethods[Irrigation method]")</formula1>
    </dataValidation>
    <dataValidation type="list" allowBlank="1" showInputMessage="1" showErrorMessage="1" sqref="E253 E258 E263 E297 E292 E287 E165 E153 E129 E141" xr:uid="{6D75EE4E-AC3F-4089-B71D-80CA0533CCDA}">
      <formula1>"Yes, No"</formula1>
    </dataValidation>
    <dataValidation type="list" allowBlank="1" showInputMessage="1" showErrorMessage="1" sqref="E229" xr:uid="{01D1C556-3E64-43AB-9428-8B50BE721402}">
      <formula1>INDIRECT("Table_SourceData_Dairy_ProductionSystemTemplates[Area]")</formula1>
    </dataValidation>
    <dataValidation type="list" allowBlank="1" showInputMessage="1" showErrorMessage="1" sqref="D281" xr:uid="{D30938E5-426A-4337-BDE1-32CC81BE151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0C06-4B0C-4452-93A4-AC1BB3D673F5}">
  <sheetPr>
    <tabColor theme="5" tint="-0.249977111117893"/>
  </sheetPr>
  <dimension ref="A1:S195"/>
  <sheetViews>
    <sheetView showGridLines="0" zoomScaleNormal="100" workbookViewId="0">
      <pane xSplit="1" topLeftCell="B1" activePane="topRight" state="frozenSplit"/>
      <selection pane="topRight" activeCell="A56" sqref="A56"/>
    </sheetView>
  </sheetViews>
  <sheetFormatPr defaultColWidth="9" defaultRowHeight="20.100000000000001" customHeight="1" x14ac:dyDescent="0.2"/>
  <cols>
    <col min="1" max="1" width="36.7109375" style="241" customWidth="1"/>
    <col min="2" max="2" width="4.140625" style="241" customWidth="1"/>
    <col min="3" max="3" width="4.140625" style="239" customWidth="1"/>
    <col min="4" max="4" width="41.28515625" style="239" customWidth="1"/>
    <col min="5" max="10" width="26.85546875" style="239" customWidth="1"/>
    <col min="11" max="18" width="30.5703125" style="1" customWidth="1"/>
    <col min="19" max="19" width="4.5703125" style="1" customWidth="1"/>
    <col min="20" max="16384" width="9" style="241"/>
  </cols>
  <sheetData>
    <row r="1" spans="1:19" ht="30" customHeight="1" x14ac:dyDescent="0.35">
      <c r="A1" s="10" t="e" vm="1">
        <v>#VALUE!</v>
      </c>
      <c r="C1" s="27" t="s">
        <v>950</v>
      </c>
      <c r="D1" s="21"/>
      <c r="E1" s="21"/>
      <c r="F1" s="21"/>
      <c r="G1" s="21"/>
      <c r="H1" s="21"/>
      <c r="I1" s="21"/>
      <c r="J1" s="21"/>
      <c r="K1" s="21"/>
      <c r="L1" s="21"/>
      <c r="M1" s="21"/>
      <c r="N1" s="21"/>
      <c r="O1" s="21"/>
      <c r="P1" s="21"/>
      <c r="Q1" s="21"/>
      <c r="R1" s="21"/>
      <c r="S1" s="21"/>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
      <c r="A4" s="5" t="str">
        <f>HYPERLINK("#'Results - Activity period'!A1", "Results - Activity period")</f>
        <v>Results - Activity period</v>
      </c>
      <c r="C4" s="24"/>
      <c r="D4" s="24"/>
      <c r="E4" s="24"/>
      <c r="F4" s="24"/>
      <c r="G4" s="24"/>
      <c r="H4" s="24"/>
      <c r="I4" s="24"/>
      <c r="J4" s="24"/>
    </row>
    <row r="5" spans="1:19" ht="20.100000000000001" customHeight="1" x14ac:dyDescent="0.2">
      <c r="A5" s="5" t="str">
        <f>HYPERLINK("#'Results - Product EI'!A1", "Results - Product Emissions Intensity")</f>
        <v>Results - Product Emissions Intensity</v>
      </c>
      <c r="C5" s="1"/>
      <c r="D5" s="2" t="s">
        <v>951</v>
      </c>
      <c r="E5" s="24"/>
      <c r="F5" s="24"/>
      <c r="G5" s="24"/>
      <c r="H5" s="24"/>
      <c r="I5" s="24"/>
      <c r="J5" s="24"/>
    </row>
    <row r="6" spans="1:19" ht="20.100000000000001" customHeight="1" x14ac:dyDescent="0.2">
      <c r="A6"/>
      <c r="C6" s="1"/>
    </row>
    <row r="7" spans="1:19" ht="20.100000000000001" customHeight="1" x14ac:dyDescent="0.2">
      <c r="A7"/>
      <c r="C7" s="1"/>
      <c r="D7" s="78" t="s">
        <v>952</v>
      </c>
      <c r="E7" s="78" t="s">
        <v>953</v>
      </c>
      <c r="F7" s="78" t="s">
        <v>954</v>
      </c>
    </row>
    <row r="8" spans="1:19" ht="20.100000000000001" customHeight="1" x14ac:dyDescent="0.2">
      <c r="A8" s="7" t="s">
        <v>0</v>
      </c>
      <c r="C8" s="1"/>
      <c r="D8" s="33" t="s">
        <v>955</v>
      </c>
      <c r="E8" s="13" t="s">
        <v>956</v>
      </c>
      <c r="F8" s="74">
        <v>100</v>
      </c>
    </row>
    <row r="9" spans="1:19" ht="20.100000000000001" customHeight="1" x14ac:dyDescent="0.2">
      <c r="A9" s="5" t="str">
        <f>HYPERLINK("#'Input - Enterprise'!A1", "Enterprise")</f>
        <v>Enterprise</v>
      </c>
      <c r="C9" s="1"/>
      <c r="D9" s="33" t="s">
        <v>957</v>
      </c>
      <c r="E9" s="84" t="s">
        <v>958</v>
      </c>
      <c r="F9" s="242">
        <v>100</v>
      </c>
    </row>
    <row r="10" spans="1:19" ht="20.100000000000001" customHeight="1" x14ac:dyDescent="0.2">
      <c r="A10" s="5" t="str">
        <f>HYPERLINK("#'Input - Site'!A1", "Site")</f>
        <v>Site</v>
      </c>
      <c r="D10" s="33" t="s">
        <v>959</v>
      </c>
      <c r="E10" s="84" t="s">
        <v>960</v>
      </c>
      <c r="F10" s="242">
        <v>100</v>
      </c>
    </row>
    <row r="11" spans="1:19" ht="20.100000000000001" customHeight="1" x14ac:dyDescent="0.2">
      <c r="A11" s="5" t="str">
        <f>HYPERLINK("#'Input - Poultry'!A1", "Poultry")</f>
        <v>Poultry</v>
      </c>
      <c r="D11" s="33" t="s">
        <v>959</v>
      </c>
      <c r="E11" s="84" t="s">
        <v>960</v>
      </c>
      <c r="F11" s="242">
        <v>100</v>
      </c>
    </row>
    <row r="12" spans="1:19" ht="20.100000000000001" customHeight="1" x14ac:dyDescent="0.2">
      <c r="A12" s="5" t="str">
        <f>HYPERLINK("#'Input - Livestock sales'!A1", "Livestock sales")</f>
        <v>Livestock sales</v>
      </c>
      <c r="C12" s="1"/>
      <c r="D12" s="33" t="s">
        <v>955</v>
      </c>
      <c r="E12" s="84" t="s">
        <v>956</v>
      </c>
      <c r="F12" s="242">
        <v>100</v>
      </c>
    </row>
    <row r="13" spans="1:19" ht="20.100000000000001" customHeight="1" x14ac:dyDescent="0.2">
      <c r="A13" s="5" t="str">
        <f>HYPERLINK("#'Input - Poultry purchases'!A1", "Poultry purchases")</f>
        <v>Poultry purchases</v>
      </c>
      <c r="C13" s="1"/>
      <c r="D13" s="33" t="s">
        <v>955</v>
      </c>
      <c r="E13" s="84" t="s">
        <v>956</v>
      </c>
      <c r="F13" s="242">
        <v>100</v>
      </c>
    </row>
    <row r="14" spans="1:19" ht="20.100000000000001" customHeight="1" x14ac:dyDescent="0.2">
      <c r="A14" s="5" t="str">
        <f>HYPERLINK("#'Input - Fuel'!A1", "Fuel")</f>
        <v>Fuel</v>
      </c>
      <c r="D14" s="33"/>
      <c r="E14" s="13"/>
      <c r="F14" s="74"/>
    </row>
    <row r="15" spans="1:19" ht="20.100000000000001" customHeight="1" x14ac:dyDescent="0.2">
      <c r="A15" s="5" t="str">
        <f>HYPERLINK("#'Input - Electricity'!A1", "Electricity")</f>
        <v>Electricity</v>
      </c>
      <c r="D15" s="33"/>
      <c r="E15" s="13"/>
      <c r="F15" s="74"/>
    </row>
    <row r="16" spans="1:19" ht="20.100000000000001" customHeight="1" x14ac:dyDescent="0.2">
      <c r="A16" s="100" t="str">
        <f>HYPERLINK("#'Input - Common farm inputs'!A1", "Common farm inputs")</f>
        <v>Common farm inputs</v>
      </c>
      <c r="D16" s="33"/>
      <c r="E16" s="13"/>
      <c r="F16" s="74"/>
    </row>
    <row r="17" spans="1:10" ht="20.100000000000001" customHeight="1" x14ac:dyDescent="0.2">
      <c r="A17" s="5" t="str">
        <f>HYPERLINK("#'Input - Livestock farm Inputs'!A1", "Livestock farm Inputs")</f>
        <v>Livestock farm Inputs</v>
      </c>
      <c r="C17" s="1"/>
      <c r="D17" s="33"/>
      <c r="E17" s="13"/>
      <c r="F17" s="74"/>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Manure sent off-site'!A1", "Manure sent off-site")</f>
        <v>Manure sent off-site</v>
      </c>
      <c r="D20" s="2" t="s">
        <v>961</v>
      </c>
    </row>
    <row r="21" spans="1:10" ht="20.100000000000001" customHeight="1" x14ac:dyDescent="0.2">
      <c r="A21" s="5" t="str">
        <f>HYPERLINK("#'Input - Data quality'!A1", "Data quality")</f>
        <v>Data quality</v>
      </c>
      <c r="D21" s="25"/>
      <c r="I21" s="24"/>
      <c r="J21" s="24"/>
    </row>
    <row r="22" spans="1:10" ht="20.100000000000001" customHeight="1" x14ac:dyDescent="0.2">
      <c r="A22" s="5" t="str">
        <f>HYPERLINK("#'Input - Fert Prod System'!A1", "Fert Prod System")</f>
        <v>Fert Prod System</v>
      </c>
      <c r="D22" s="243" t="s">
        <v>962</v>
      </c>
      <c r="E22" s="243" t="s">
        <v>963</v>
      </c>
      <c r="F22" s="243" t="s">
        <v>964</v>
      </c>
      <c r="G22" s="243" t="s">
        <v>595</v>
      </c>
    </row>
    <row r="23" spans="1:10" ht="20.100000000000001" customHeight="1" x14ac:dyDescent="0.2">
      <c r="A23" s="5" t="str">
        <f>HYPERLINK("#'Input - Fertiliser'!A1", "Fertiliser")</f>
        <v>Fertiliser</v>
      </c>
      <c r="D23" s="33" t="s">
        <v>965</v>
      </c>
      <c r="E23" s="33" t="s">
        <v>966</v>
      </c>
      <c r="F23" s="74">
        <v>10000</v>
      </c>
      <c r="G23" s="13" t="s">
        <v>967</v>
      </c>
    </row>
    <row r="24" spans="1:10" ht="20.100000000000001" customHeight="1" x14ac:dyDescent="0.2">
      <c r="A24"/>
      <c r="D24" s="33" t="s">
        <v>968</v>
      </c>
      <c r="E24" s="33" t="s">
        <v>969</v>
      </c>
      <c r="F24" s="74">
        <v>1000</v>
      </c>
      <c r="G24" s="13" t="s">
        <v>970</v>
      </c>
    </row>
    <row r="25" spans="1:10" ht="20.100000000000001" customHeight="1" x14ac:dyDescent="0.2">
      <c r="A25"/>
      <c r="C25" s="1"/>
      <c r="D25" s="33"/>
      <c r="E25" s="33"/>
      <c r="F25" s="74"/>
      <c r="G25" s="13"/>
    </row>
    <row r="26" spans="1:10" ht="20.100000000000001" customHeight="1" x14ac:dyDescent="0.2">
      <c r="A26" s="6" t="s">
        <v>2</v>
      </c>
      <c r="C26" s="1"/>
      <c r="D26" s="33"/>
      <c r="E26" s="33"/>
      <c r="F26" s="74"/>
      <c r="G26" s="13"/>
    </row>
    <row r="27" spans="1:10" ht="20.100000000000001" customHeight="1" x14ac:dyDescent="0.2">
      <c r="A27" s="5" t="str">
        <f>HYPERLINK("#'4.6.1.1-2 Methane'!A1", "4.6.1.1-2 Manure Methane")</f>
        <v>4.6.1.1-2 Manure Methane</v>
      </c>
      <c r="C27" s="1"/>
      <c r="D27" s="33"/>
      <c r="E27" s="33"/>
      <c r="F27" s="74"/>
      <c r="G27" s="13"/>
    </row>
    <row r="28" spans="1:10" ht="20.100000000000001" customHeight="1" x14ac:dyDescent="0.2">
      <c r="A28" s="5" t="str">
        <f>HYPERLINK("#'4.6.1.3-4 Direct N20'!A1", "4.6.1.3-4 Manure Direct N2O")</f>
        <v>4.6.1.3-4 Manure Direct N2O</v>
      </c>
      <c r="D28" s="33"/>
      <c r="E28" s="33"/>
      <c r="F28" s="74"/>
      <c r="G28" s="13"/>
    </row>
    <row r="29" spans="1:10" ht="20.100000000000001" customHeight="1" x14ac:dyDescent="0.2">
      <c r="A29" s="5" t="str">
        <f>HYPERLINK("#'4.6.1.5-6 Atmos Dep'!A1", "4.6.1.5-6 Manure Atmos Dep")</f>
        <v>4.6.1.5-6 Manure Atmos Dep</v>
      </c>
      <c r="D29" s="33"/>
      <c r="E29" s="33"/>
      <c r="F29" s="74"/>
      <c r="G29" s="13"/>
    </row>
    <row r="30" spans="1:10" ht="20.100000000000001" customHeight="1" x14ac:dyDescent="0.2">
      <c r="A30" s="5" t="str">
        <f>HYPERLINK("#'4.6.1.7-8 Leaching and runoff'!A1", "4.6.1.7-8 Manure Leaching and runoff")</f>
        <v>4.6.1.7-8 Manure Leaching and runoff</v>
      </c>
      <c r="D30" s="33"/>
      <c r="E30" s="33"/>
      <c r="F30" s="74"/>
      <c r="G30" s="13"/>
    </row>
    <row r="31" spans="1:10" ht="20.100000000000001" customHeight="1" x14ac:dyDescent="0.2">
      <c r="A31" s="5" t="str">
        <f>HYPERLINK("#'4.6.1.9 Manure applied to soils'!A1", "4.6.1.9 Manure applied to soils")</f>
        <v>4.6.1.9 Manure applied to soils</v>
      </c>
      <c r="D31" s="33"/>
      <c r="E31" s="33"/>
      <c r="F31" s="74"/>
      <c r="G31" s="13"/>
    </row>
    <row r="32" spans="1:10" ht="20.100000000000001" customHeight="1" x14ac:dyDescent="0.2">
      <c r="A32" s="5" t="str">
        <f>HYPERLINK("#'4.6.1.10-11 Soil direct N2O'!A1", "4.6.1.10-11 Soil direct N2O")</f>
        <v>4.6.1.10-11 Soil direct N2O</v>
      </c>
      <c r="D32" s="33"/>
      <c r="E32" s="33"/>
      <c r="F32" s="74"/>
      <c r="G32" s="13"/>
    </row>
    <row r="33" spans="1:6" ht="20.100000000000001" customHeight="1" x14ac:dyDescent="0.2">
      <c r="A33" s="5" t="str">
        <f>HYPERLINK("#'4.6.1.12-13 Soil atmos dep'!A1", "4.6.1.12-13 Soil atmos dep")</f>
        <v>4.6.1.12-13 Soil atmos dep</v>
      </c>
    </row>
    <row r="34" spans="1:6" ht="20.100000000000001" customHeight="1" x14ac:dyDescent="0.2">
      <c r="A34" s="5" t="str">
        <f>HYPERLINK("#'4.6.1.14-15 Soil leach runoff'!A1", "4.6.1.14-15 Soil leach runoff")</f>
        <v>4.6.1.14-15 Soil leach runoff</v>
      </c>
    </row>
    <row r="35" spans="1:6" ht="20.100000000000001" customHeight="1" x14ac:dyDescent="0.2">
      <c r="A35" s="5" t="str">
        <f>HYPERLINK("#'8.1.1.1-2 Transport fuel'!A1", "8.1.1.1-2 Transport fuel")</f>
        <v>8.1.1.1-2 Transport fuel</v>
      </c>
      <c r="D35" s="2" t="s">
        <v>971</v>
      </c>
    </row>
    <row r="36" spans="1:6" ht="20.100000000000001" customHeight="1" x14ac:dyDescent="0.2">
      <c r="A36" s="5" t="str">
        <f>HYPERLINK("#'8.2.1.1-2 Stationary fuel'!A1", "8.2.1.1-2 Stationary fuel")</f>
        <v>8.2.1.1-2 Stationary fuel</v>
      </c>
      <c r="D36" s="25"/>
    </row>
    <row r="37" spans="1:6" ht="20.100000000000001" customHeight="1" x14ac:dyDescent="0.2">
      <c r="A37" s="5" t="str">
        <f>HYPERLINK("#'10.1.1-2 Solid waste treatment'!A1", "10.1.1.1-2 Solid waste")</f>
        <v>10.1.1.1-2 Solid waste</v>
      </c>
      <c r="D37" s="78" t="s">
        <v>972</v>
      </c>
      <c r="E37" s="78" t="s">
        <v>879</v>
      </c>
      <c r="F37" s="78" t="s">
        <v>595</v>
      </c>
    </row>
    <row r="38" spans="1:6" ht="20.100000000000001" customHeight="1" x14ac:dyDescent="0.2">
      <c r="A38" s="5" t="str">
        <f>HYPERLINK("#'14.1.1-2 Purchased electricity'!A1", "14.1.1-2 Purchased electricity")</f>
        <v>14.1.1-2 Purchased electricity</v>
      </c>
      <c r="D38" s="33" t="s">
        <v>973</v>
      </c>
      <c r="E38" s="74">
        <v>1000</v>
      </c>
      <c r="F38" s="33" t="s">
        <v>758</v>
      </c>
    </row>
    <row r="39" spans="1:6" ht="20.100000000000001" customHeight="1" x14ac:dyDescent="0.2">
      <c r="A39" s="5" t="str">
        <f>HYPERLINK("#'15 Scope 3'!A1", "15 Scope 3")</f>
        <v>15 Scope 3</v>
      </c>
      <c r="D39" s="33"/>
      <c r="E39" s="74"/>
      <c r="F39" s="33"/>
    </row>
    <row r="40" spans="1:6" ht="20.100000000000001" customHeight="1" x14ac:dyDescent="0.2">
      <c r="A40" s="5" t="str">
        <f>HYPERLINK("#'Calcs - Manure sent off-site'!A1", "Calcs - Manure sent off-site")</f>
        <v>Calcs - Manure sent off-site</v>
      </c>
      <c r="D40" s="33"/>
      <c r="E40" s="74"/>
      <c r="F40" s="33"/>
    </row>
    <row r="41" spans="1:6" ht="20.100000000000001" customHeight="1" x14ac:dyDescent="0.2">
      <c r="A41" s="5" t="str">
        <f>HYPERLINK("#'5.1.1.1-2 Inorganic fert N2O'!A1", "5.1.1.1-2 Inorganic fert N2O")</f>
        <v>5.1.1.1-2 Inorganic fert N2O</v>
      </c>
      <c r="D41" s="33"/>
      <c r="E41" s="74"/>
      <c r="F41" s="33"/>
    </row>
    <row r="42" spans="1:6" ht="20.100000000000001" customHeight="1" x14ac:dyDescent="0.2">
      <c r="A42" s="5" t="str">
        <f>HYPERLINK("#'5.1.1.3-4 Inorganic fert CO2'!A1", "5.1.1.3-4 Inorganic fert CO2")</f>
        <v>5.1.1.3-4 Inorganic fert CO2</v>
      </c>
      <c r="D42" s="33"/>
      <c r="E42" s="74"/>
      <c r="F42" s="33"/>
    </row>
    <row r="43" spans="1:6" ht="20.100000000000001" customHeight="1" x14ac:dyDescent="0.2">
      <c r="A43" s="5" t="str">
        <f>HYPERLINK("#'5.2.1.1-2 Organic Fert N2O'!A1", "5.2.1.1-2 Organic Fert N2O")</f>
        <v>5.2.1.1-2 Organic Fert N2O</v>
      </c>
      <c r="D43" s="33"/>
      <c r="E43" s="74"/>
      <c r="F43" s="33"/>
    </row>
    <row r="44" spans="1:6" ht="20.100000000000001" customHeight="1" x14ac:dyDescent="0.2">
      <c r="A44" s="5" t="str">
        <f>HYPERLINK("#'5.3.1.1-2 Lime CO2'!A1", "5.3.1.1-2 Lime CO2")</f>
        <v>5.3.1.1-2 Lime CO2</v>
      </c>
      <c r="C44" s="1"/>
      <c r="D44" s="33"/>
      <c r="E44" s="74"/>
      <c r="F44" s="33"/>
    </row>
    <row r="45" spans="1:6" ht="20.100000000000001" customHeight="1" x14ac:dyDescent="0.2">
      <c r="A45" s="5" t="str">
        <f>HYPERLINK("#'5.4.1.1-4 Atmos deposition'!A1", "5.4.1.1-4 Atmos deposition")</f>
        <v>5.4.1.1-4 Atmos deposition</v>
      </c>
      <c r="C45" s="1"/>
      <c r="D45" s="33"/>
      <c r="E45" s="74"/>
      <c r="F45" s="33"/>
    </row>
    <row r="46" spans="1:6" ht="20.100000000000001" customHeight="1" x14ac:dyDescent="0.2">
      <c r="A46" s="5" t="str">
        <f>HYPERLINK("#'5.5.1.1-2 Leaching and runoff'!A1", "5.5.1.1-2 Leaching and runoff")</f>
        <v>5.5.1.1-2 Leaching and runoff</v>
      </c>
      <c r="C46" s="1"/>
      <c r="D46" s="33"/>
      <c r="E46" s="74"/>
      <c r="F46" s="33"/>
    </row>
    <row r="47" spans="1:6" ht="20.100000000000001" customHeight="1" x14ac:dyDescent="0.2">
      <c r="A47"/>
      <c r="C47" s="1"/>
      <c r="D47" s="33"/>
      <c r="E47" s="74"/>
      <c r="F47" s="33"/>
    </row>
    <row r="48" spans="1:6" ht="20.100000000000001" customHeight="1" x14ac:dyDescent="0.2">
      <c r="A48"/>
      <c r="C48" s="1"/>
    </row>
    <row r="49" spans="1:3" ht="20.100000000000001" customHeight="1" x14ac:dyDescent="0.2">
      <c r="A49" s="80" t="s">
        <v>1</v>
      </c>
      <c r="C49" s="1"/>
    </row>
    <row r="50" spans="1:3" ht="20.100000000000001" customHeight="1" x14ac:dyDescent="0.2">
      <c r="A50" s="5" t="str">
        <f>HYPERLINK("#'Constants - Poultry'!A1", "Constants - Poultry")</f>
        <v>Constants - Poultry</v>
      </c>
    </row>
    <row r="51" spans="1:3" ht="20.100000000000001" customHeight="1" x14ac:dyDescent="0.2">
      <c r="A51" s="5" t="str">
        <f>HYPERLINK("#'Constants - Common livestock'!A1", "Constants - Common Livestock")</f>
        <v>Constants - Common Livestock</v>
      </c>
    </row>
    <row r="52" spans="1:3" ht="20.100000000000001" customHeight="1" x14ac:dyDescent="0.2">
      <c r="A52" s="5" t="str">
        <f>HYPERLINK("#'Constants - Electricity'!A1", "Constants - Electricity")</f>
        <v>Constants - Electricity</v>
      </c>
    </row>
    <row r="53" spans="1:3" ht="20.100000000000001" customHeight="1" x14ac:dyDescent="0.2">
      <c r="A53" s="5" t="str">
        <f>HYPERLINK("#'Constants - Fertiliser'!A1", "Constants - Fertiliser")</f>
        <v>Constants - Fertiliser</v>
      </c>
    </row>
    <row r="54" spans="1:3" ht="20.100000000000001" customHeight="1" x14ac:dyDescent="0.2">
      <c r="A54" s="5" t="str">
        <f>HYPERLINK("#'Constants - Fuel'!A1", "Constants - Fuel")</f>
        <v>Constants - Fuel</v>
      </c>
    </row>
    <row r="55" spans="1:3" ht="20.100000000000001" customHeight="1" x14ac:dyDescent="0.2">
      <c r="A55" s="5" t="str">
        <f>HYPERLINK("#'Constants - Scope 3'!A1", "Constants - Scope 3")</f>
        <v>Constants - Scope 3</v>
      </c>
    </row>
    <row r="56" spans="1:3" ht="20.100000000000001" customHeight="1" x14ac:dyDescent="0.2">
      <c r="A56" s="5" t="str">
        <f>HYPERLINK("#'Constants - Solid Waste'!A1", "Constants - Solid Waste")</f>
        <v>Constants - Solid Waste</v>
      </c>
    </row>
    <row r="57" spans="1:3" ht="20.100000000000001" customHeight="1" x14ac:dyDescent="0.2">
      <c r="A57" s="5" t="str">
        <f>HYPERLINK("#'Constants - Common'!A1", "Constants - Common")</f>
        <v>Constants - Common</v>
      </c>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9"/>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4"/>
    </row>
    <row r="93" spans="1:10" ht="20.100000000000001" customHeight="1" x14ac:dyDescent="0.2">
      <c r="A93"/>
      <c r="J93" s="24"/>
    </row>
    <row r="94" spans="1:10" ht="20.100000000000001" customHeight="1" x14ac:dyDescent="0.2">
      <c r="A94"/>
      <c r="J94" s="24"/>
    </row>
    <row r="95" spans="1:10" ht="20.100000000000001" customHeight="1" x14ac:dyDescent="0.2">
      <c r="A95"/>
      <c r="J95" s="24"/>
    </row>
    <row r="96" spans="1:10" ht="20.100000000000001" customHeight="1" x14ac:dyDescent="0.2">
      <c r="A96"/>
      <c r="J96" s="24"/>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4"/>
      <c r="M113" s="24"/>
      <c r="N113" s="24"/>
      <c r="O113" s="24"/>
      <c r="P113" s="24"/>
    </row>
    <row r="114" spans="1:16" ht="20.100000000000001" customHeight="1" x14ac:dyDescent="0.2">
      <c r="A114"/>
      <c r="J114" s="1"/>
      <c r="L114" s="24"/>
      <c r="M114" s="24"/>
      <c r="N114" s="24"/>
      <c r="O114" s="24"/>
      <c r="P114" s="24"/>
    </row>
    <row r="115" spans="1:16" ht="20.100000000000001" customHeight="1" x14ac:dyDescent="0.2">
      <c r="A115"/>
      <c r="J115" s="1"/>
      <c r="L115" s="24"/>
      <c r="M115" s="24"/>
      <c r="N115" s="24"/>
      <c r="O115" s="24"/>
      <c r="P115" s="24"/>
    </row>
    <row r="116" spans="1:16" ht="20.100000000000001" customHeight="1" x14ac:dyDescent="0.2">
      <c r="A116"/>
      <c r="I116" s="24"/>
      <c r="J116" s="1"/>
      <c r="N116" s="24"/>
      <c r="O116" s="24"/>
      <c r="P116" s="24"/>
    </row>
    <row r="117" spans="1:16" ht="20.100000000000001" customHeight="1" x14ac:dyDescent="0.2">
      <c r="A117"/>
      <c r="I117" s="24"/>
      <c r="J117" s="1"/>
      <c r="N117" s="24"/>
      <c r="O117" s="24"/>
      <c r="P117" s="24"/>
    </row>
    <row r="118" spans="1:16" ht="20.100000000000001" customHeight="1" x14ac:dyDescent="0.2">
      <c r="A118"/>
      <c r="J118" s="24"/>
      <c r="N118" s="2"/>
      <c r="O118" s="2"/>
      <c r="P118" s="24"/>
    </row>
    <row r="119" spans="1:16" ht="20.100000000000001" customHeight="1" x14ac:dyDescent="0.2">
      <c r="A119"/>
      <c r="J119" s="24"/>
      <c r="P119" s="8"/>
    </row>
    <row r="120" spans="1:16" ht="20.100000000000001" customHeight="1" x14ac:dyDescent="0.2">
      <c r="A120"/>
      <c r="J120" s="24"/>
      <c r="P120" s="8"/>
    </row>
    <row r="121" spans="1:16" ht="20.100000000000001" customHeight="1" x14ac:dyDescent="0.2">
      <c r="A121"/>
      <c r="J121" s="2"/>
      <c r="P121" s="8"/>
    </row>
    <row r="122" spans="1:16" ht="20.100000000000001" customHeight="1" x14ac:dyDescent="0.2">
      <c r="A122"/>
      <c r="G122" s="24"/>
      <c r="H122" s="1"/>
      <c r="J122" s="1"/>
      <c r="P122" s="8"/>
    </row>
    <row r="123" spans="1:16" ht="20.100000000000001" customHeight="1" x14ac:dyDescent="0.2">
      <c r="A123"/>
      <c r="G123" s="24"/>
      <c r="H123" s="1"/>
      <c r="J123" s="1"/>
      <c r="P123" s="8"/>
    </row>
    <row r="124" spans="1:16" ht="20.100000000000001" customHeight="1" x14ac:dyDescent="0.2">
      <c r="A124"/>
      <c r="G124" s="24"/>
      <c r="H124" s="24"/>
      <c r="J124" s="1"/>
      <c r="N124" s="24"/>
      <c r="O124" s="24"/>
      <c r="P124" s="24"/>
    </row>
    <row r="125" spans="1:16" ht="20.100000000000001" customHeight="1" x14ac:dyDescent="0.2">
      <c r="A125"/>
      <c r="G125" s="24"/>
      <c r="H125" s="24"/>
      <c r="I125" s="24"/>
      <c r="J125" s="1"/>
      <c r="N125" s="24"/>
      <c r="O125" s="24"/>
      <c r="P125" s="24"/>
    </row>
    <row r="126" spans="1:16" ht="20.100000000000001" customHeight="1" x14ac:dyDescent="0.2">
      <c r="A126"/>
      <c r="G126" s="24"/>
      <c r="I126" s="24"/>
      <c r="J126" s="1"/>
    </row>
    <row r="127" spans="1:16" ht="20.100000000000001" customHeight="1" x14ac:dyDescent="0.2">
      <c r="A127"/>
      <c r="I127" s="24"/>
      <c r="J127" s="24"/>
    </row>
    <row r="128" spans="1:16" ht="20.100000000000001" customHeight="1" x14ac:dyDescent="0.2">
      <c r="A128"/>
      <c r="I128" s="24"/>
      <c r="J128" s="24"/>
    </row>
    <row r="129" spans="1:13" ht="20.100000000000001" customHeight="1" x14ac:dyDescent="0.2">
      <c r="A129"/>
      <c r="I129" s="24"/>
      <c r="L129" s="24"/>
      <c r="M129" s="24"/>
    </row>
    <row r="130" spans="1:13" ht="20.100000000000001" customHeight="1" x14ac:dyDescent="0.2">
      <c r="A130"/>
      <c r="I130" s="24"/>
      <c r="L130" s="24"/>
      <c r="M130" s="24"/>
    </row>
    <row r="131" spans="1:13" ht="20.100000000000001" customHeight="1" x14ac:dyDescent="0.2">
      <c r="A131"/>
      <c r="G131" s="1"/>
      <c r="I131" s="1"/>
      <c r="L131" s="2"/>
      <c r="M131" s="2"/>
    </row>
    <row r="132" spans="1:13" ht="20.100000000000001" customHeight="1" x14ac:dyDescent="0.2">
      <c r="A132"/>
      <c r="G132" s="24"/>
      <c r="I132" s="1"/>
    </row>
    <row r="133" spans="1:13" ht="20.100000000000001" customHeight="1" x14ac:dyDescent="0.2">
      <c r="A133"/>
      <c r="G133" s="24"/>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4"/>
    </row>
    <row r="137" spans="1:13" ht="20.100000000000001" customHeight="1" x14ac:dyDescent="0.2">
      <c r="A137"/>
      <c r="I137" s="24"/>
      <c r="L137" s="24"/>
      <c r="M137" s="24"/>
    </row>
    <row r="138" spans="1:13" ht="20.100000000000001" customHeight="1" x14ac:dyDescent="0.2">
      <c r="A138"/>
      <c r="L138" s="24"/>
      <c r="M138" s="24"/>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41"/>
    </row>
    <row r="166" spans="1:19" ht="20.100000000000001" customHeight="1" x14ac:dyDescent="0.2">
      <c r="A166"/>
      <c r="S166" s="241"/>
    </row>
    <row r="167" spans="1:19" ht="20.100000000000001" customHeight="1" x14ac:dyDescent="0.2">
      <c r="A167"/>
      <c r="S167" s="241"/>
    </row>
    <row r="168" spans="1:19" ht="20.100000000000001" customHeight="1" x14ac:dyDescent="0.2">
      <c r="A168"/>
      <c r="S168" s="241"/>
    </row>
    <row r="169" spans="1:19" ht="20.100000000000001" customHeight="1" x14ac:dyDescent="0.2">
      <c r="A169"/>
      <c r="S169" s="241"/>
    </row>
    <row r="170" spans="1:19" ht="20.100000000000001" customHeight="1" x14ac:dyDescent="0.2">
      <c r="A170"/>
      <c r="S170" s="241"/>
    </row>
    <row r="171" spans="1:19" ht="20.100000000000001" customHeight="1" x14ac:dyDescent="0.2">
      <c r="A171"/>
      <c r="S171" s="241"/>
    </row>
    <row r="172" spans="1:19" ht="20.100000000000001" customHeight="1" x14ac:dyDescent="0.2">
      <c r="A172"/>
      <c r="S172" s="241"/>
    </row>
    <row r="173" spans="1:19" ht="20.100000000000001" customHeight="1" x14ac:dyDescent="0.2">
      <c r="A173"/>
      <c r="S173" s="241"/>
    </row>
    <row r="174" spans="1:19" ht="20.100000000000001" customHeight="1" x14ac:dyDescent="0.2">
      <c r="A174"/>
      <c r="S174" s="241"/>
    </row>
    <row r="175" spans="1:19" ht="20.100000000000001" customHeight="1" x14ac:dyDescent="0.2">
      <c r="A175"/>
      <c r="S175" s="241"/>
    </row>
    <row r="176" spans="1:19" ht="20.100000000000001" customHeight="1" x14ac:dyDescent="0.2">
      <c r="A176"/>
      <c r="K176" s="24"/>
    </row>
    <row r="177" spans="1:19" ht="20.100000000000001" customHeight="1" x14ac:dyDescent="0.2">
      <c r="A177"/>
      <c r="K177" s="24"/>
    </row>
    <row r="178" spans="1:19" ht="20.100000000000001" customHeight="1" x14ac:dyDescent="0.2">
      <c r="A178"/>
    </row>
    <row r="179" spans="1:19" ht="20.100000000000001" customHeight="1" x14ac:dyDescent="0.2">
      <c r="A179"/>
    </row>
    <row r="180" spans="1:19" ht="20.100000000000001" customHeight="1" x14ac:dyDescent="0.2">
      <c r="A180"/>
      <c r="S180" s="241"/>
    </row>
    <row r="181" spans="1:19" ht="20.100000000000001" customHeight="1" x14ac:dyDescent="0.2">
      <c r="A181"/>
      <c r="S181" s="241"/>
    </row>
    <row r="182" spans="1:19" ht="20.100000000000001" customHeight="1" x14ac:dyDescent="0.2">
      <c r="A182"/>
      <c r="S182" s="241"/>
    </row>
    <row r="183" spans="1:19" ht="20.100000000000001" customHeight="1" x14ac:dyDescent="0.2">
      <c r="A183"/>
      <c r="S183" s="241"/>
    </row>
    <row r="184" spans="1:19" ht="20.100000000000001" customHeight="1" x14ac:dyDescent="0.2">
      <c r="A184"/>
      <c r="S184" s="241"/>
    </row>
    <row r="185" spans="1:19" ht="20.100000000000001" customHeight="1" x14ac:dyDescent="0.2">
      <c r="A185"/>
      <c r="S185" s="241"/>
    </row>
    <row r="186" spans="1:19" ht="20.100000000000001" customHeight="1" x14ac:dyDescent="0.2">
      <c r="A186"/>
      <c r="S186" s="241"/>
    </row>
    <row r="187" spans="1:19" ht="20.100000000000001" customHeight="1" x14ac:dyDescent="0.2">
      <c r="A187"/>
      <c r="S187" s="241"/>
    </row>
    <row r="188" spans="1:19" ht="20.100000000000001" customHeight="1" x14ac:dyDescent="0.2">
      <c r="A188"/>
      <c r="S188" s="241"/>
    </row>
    <row r="189" spans="1:19" ht="20.100000000000001" customHeight="1" x14ac:dyDescent="0.2">
      <c r="A189"/>
      <c r="S189" s="241"/>
    </row>
    <row r="190" spans="1:19" ht="20.100000000000001" customHeight="1" x14ac:dyDescent="0.2">
      <c r="A190"/>
      <c r="S190" s="241"/>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2CDD5318-479F-4C69-BA46-BAA9FDD0C87A}">
      <formula1>INDIRECT("Table_Scope3_AquacultureFeedBait[Feed / Bait ingredient]")</formula1>
    </dataValidation>
    <dataValidation type="list" allowBlank="1" showInputMessage="1" showErrorMessage="1" sqref="G23:G32" xr:uid="{3D4C4A9A-85AA-4CC2-BCF5-A886AB4D49EA}">
      <formula1>"Hour, Hectare"</formula1>
    </dataValidation>
    <dataValidation type="list" allowBlank="1" showInputMessage="1" showErrorMessage="1" sqref="E8:E17" xr:uid="{742C74B9-251A-4ACF-B26F-23585562FB6D}">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E3E1-E39C-4FEB-B1D8-FB09F1610B63}">
  <sheetPr>
    <tabColor theme="5" tint="-0.249977111117893"/>
  </sheetPr>
  <dimension ref="A1:R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974</v>
      </c>
    </row>
    <row r="2" spans="1:18" s="3" customFormat="1" ht="20.100000000000001" customHeight="1" x14ac:dyDescent="0.2">
      <c r="A2"/>
    </row>
    <row r="3" spans="1:18" ht="20.100000000000001" customHeight="1" x14ac:dyDescent="0.2">
      <c r="A3" s="5" t="str">
        <f>HYPERLINK("#'Home'!A1", "Home")</f>
        <v>Home</v>
      </c>
      <c r="C3" s="28"/>
      <c r="D3" s="28"/>
      <c r="E3" s="28"/>
      <c r="F3" s="28"/>
      <c r="G3" s="28"/>
      <c r="H3" s="28"/>
      <c r="I3" s="28"/>
      <c r="J3" s="28"/>
      <c r="K3" s="28"/>
      <c r="L3" s="28"/>
      <c r="M3" s="28"/>
      <c r="N3" s="28"/>
      <c r="O3" s="28"/>
      <c r="P3" s="28"/>
      <c r="Q3" s="28"/>
      <c r="R3" s="28"/>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975</v>
      </c>
      <c r="E5" s="239"/>
      <c r="F5" s="239"/>
      <c r="G5" s="239"/>
      <c r="H5" s="239"/>
      <c r="I5" s="239"/>
      <c r="J5" s="239"/>
    </row>
    <row r="6" spans="1:18" ht="20.100000000000001" customHeight="1" x14ac:dyDescent="0.2">
      <c r="D6" s="244" t="s">
        <v>976</v>
      </c>
      <c r="E6" s="245"/>
      <c r="F6" s="246"/>
      <c r="G6" s="239"/>
      <c r="H6" s="239"/>
      <c r="I6" s="239"/>
      <c r="J6" s="239"/>
    </row>
    <row r="7" spans="1:18" ht="20.100000000000001" customHeight="1" x14ac:dyDescent="0.2">
      <c r="D7" s="1" t="str" cm="1">
        <f t="array" ref="D7:D9">Table_SourceData_Scope3_LickBlocks[Product]</f>
        <v>Lick block, dry season mix</v>
      </c>
      <c r="E7" s="74">
        <v>100</v>
      </c>
      <c r="F7" s="16" t="s">
        <v>758</v>
      </c>
      <c r="G7" s="239"/>
      <c r="H7" s="239"/>
      <c r="I7" s="239"/>
      <c r="J7" s="239"/>
    </row>
    <row r="8" spans="1:18" ht="20.100000000000001" customHeight="1" x14ac:dyDescent="0.2">
      <c r="A8" s="7" t="s">
        <v>0</v>
      </c>
      <c r="D8" s="1" t="str">
        <v>Lick block, mineral</v>
      </c>
      <c r="E8" s="74">
        <v>100</v>
      </c>
      <c r="F8" s="16" t="s">
        <v>758</v>
      </c>
      <c r="G8" s="239"/>
      <c r="H8" s="239"/>
      <c r="I8" s="239"/>
      <c r="J8" s="239"/>
    </row>
    <row r="9" spans="1:18" ht="20.100000000000001" customHeight="1" x14ac:dyDescent="0.2">
      <c r="A9" s="5" t="str">
        <f>HYPERLINK("#'Input - Enterprise'!A1", "Enterprise")</f>
        <v>Enterprise</v>
      </c>
      <c r="D9" s="1" t="str">
        <v>Lick block, weaner</v>
      </c>
      <c r="E9" s="74">
        <v>100</v>
      </c>
      <c r="F9" s="16" t="s">
        <v>758</v>
      </c>
      <c r="G9" s="239"/>
      <c r="H9" s="239"/>
      <c r="I9" s="239"/>
      <c r="J9" s="239"/>
    </row>
    <row r="10" spans="1:18" ht="20.100000000000001" customHeight="1" x14ac:dyDescent="0.2">
      <c r="A10" s="5" t="str">
        <f>HYPERLINK("#'Input - Site'!A1", "Site")</f>
        <v>Site</v>
      </c>
      <c r="G10" s="239"/>
      <c r="H10" s="239"/>
      <c r="I10" s="239"/>
      <c r="J10" s="239"/>
    </row>
    <row r="11" spans="1:18" ht="20.100000000000001" customHeight="1" x14ac:dyDescent="0.2">
      <c r="A11" s="5" t="str">
        <f>HYPERLINK("#'Input - Poultry'!A1", "Poultry")</f>
        <v>Poultry</v>
      </c>
      <c r="D11" s="244" t="s">
        <v>977</v>
      </c>
      <c r="E11" s="24"/>
      <c r="F11" s="24"/>
      <c r="G11" s="239"/>
      <c r="H11" s="239"/>
      <c r="I11" s="239"/>
      <c r="J11" s="239"/>
    </row>
    <row r="12" spans="1:18" ht="20.100000000000001" customHeight="1" x14ac:dyDescent="0.2">
      <c r="A12" s="5" t="str">
        <f>HYPERLINK("#'Input - Livestock sales'!A1", "Livestock sales")</f>
        <v>Livestock sales</v>
      </c>
      <c r="D12" s="1" t="str" cm="1">
        <f t="array" ref="D12:D15">Table_SourceData_Scope3_MixedRations[Product]</f>
        <v>Feed for chickens</v>
      </c>
      <c r="E12" s="74">
        <v>100</v>
      </c>
      <c r="F12" s="16" t="s">
        <v>758</v>
      </c>
      <c r="G12" s="239"/>
      <c r="H12" s="239"/>
      <c r="I12" s="239"/>
      <c r="J12" s="239"/>
    </row>
    <row r="13" spans="1:18" ht="20.100000000000001" customHeight="1" x14ac:dyDescent="0.2">
      <c r="A13" s="5" t="str">
        <f>HYPERLINK("#'Input - Poultry purchases'!A1", "Poultry purchases")</f>
        <v>Poultry purchases</v>
      </c>
      <c r="D13" s="1" t="str">
        <v>Feed for dairy calves</v>
      </c>
      <c r="E13" s="74">
        <v>100</v>
      </c>
      <c r="F13" s="16" t="s">
        <v>758</v>
      </c>
      <c r="G13" s="239"/>
      <c r="H13" s="239"/>
      <c r="I13" s="239"/>
      <c r="J13" s="239"/>
    </row>
    <row r="14" spans="1:18" ht="20.100000000000001" customHeight="1" x14ac:dyDescent="0.2">
      <c r="A14" s="5" t="str">
        <f>HYPERLINK("#'Input - Fuel'!A1", "Fuel")</f>
        <v>Fuel</v>
      </c>
      <c r="D14" s="1" t="str">
        <v>Feed for dairy cows</v>
      </c>
      <c r="E14" s="74">
        <v>100</v>
      </c>
      <c r="F14" s="16" t="s">
        <v>758</v>
      </c>
      <c r="G14" s="239"/>
      <c r="H14" s="239"/>
      <c r="I14" s="239"/>
      <c r="J14" s="239"/>
    </row>
    <row r="15" spans="1:18" ht="20.100000000000001" customHeight="1" x14ac:dyDescent="0.2">
      <c r="A15" s="5" t="str">
        <f>HYPERLINK("#'Input - Electricity'!A1", "Electricity")</f>
        <v>Electricity</v>
      </c>
      <c r="D15" s="1" t="str">
        <v>Feed for pigs</v>
      </c>
      <c r="E15" s="74">
        <v>100</v>
      </c>
      <c r="F15" s="16" t="s">
        <v>758</v>
      </c>
      <c r="G15" s="239"/>
      <c r="H15" s="239"/>
      <c r="I15" s="239"/>
      <c r="J15" s="239"/>
    </row>
    <row r="16" spans="1:18" ht="20.100000000000001" customHeight="1" x14ac:dyDescent="0.2">
      <c r="A16" s="5" t="str">
        <f>HYPERLINK("#'Input - Common farm inputs'!A1", "Common farm inputs")</f>
        <v>Common farm inputs</v>
      </c>
      <c r="D16" s="24"/>
      <c r="E16" s="24"/>
      <c r="F16" s="24"/>
      <c r="G16" s="239"/>
      <c r="H16" s="239"/>
      <c r="I16" s="239"/>
      <c r="J16" s="239"/>
    </row>
    <row r="17" spans="1:17" ht="20.100000000000001" customHeight="1" x14ac:dyDescent="0.2">
      <c r="A17" s="100" t="str">
        <f>HYPERLINK("#'Input - Livestock farm Inputs'!A1", "Livestock farm Inputs")</f>
        <v>Livestock farm Inputs</v>
      </c>
      <c r="D17" s="244" t="s">
        <v>978</v>
      </c>
      <c r="E17" s="24"/>
      <c r="F17" s="24"/>
      <c r="G17" s="239"/>
      <c r="H17" s="239"/>
      <c r="I17" s="239"/>
      <c r="J17" s="239"/>
    </row>
    <row r="18" spans="1:17" ht="20.100000000000001" customHeight="1" x14ac:dyDescent="0.2">
      <c r="A18" s="5" t="str">
        <f>HYPERLINK("#'Input - Freight'!A1", "Freight")</f>
        <v>Freight</v>
      </c>
      <c r="D18" s="78" t="s">
        <v>979</v>
      </c>
      <c r="E18" s="78" t="s">
        <v>980</v>
      </c>
      <c r="F18" s="78" t="s">
        <v>720</v>
      </c>
      <c r="G18" s="78" t="s">
        <v>981</v>
      </c>
      <c r="H18" s="78" t="s">
        <v>698</v>
      </c>
      <c r="I18" s="78" t="s">
        <v>982</v>
      </c>
      <c r="J18" s="78" t="s">
        <v>983</v>
      </c>
      <c r="K18" s="78" t="s">
        <v>700</v>
      </c>
      <c r="L18" s="78" t="s">
        <v>984</v>
      </c>
      <c r="M18" s="78" t="s">
        <v>985</v>
      </c>
      <c r="N18" s="78" t="s">
        <v>702</v>
      </c>
      <c r="O18" s="78" t="s">
        <v>986</v>
      </c>
      <c r="P18" s="78" t="s">
        <v>987</v>
      </c>
      <c r="Q18" s="149" t="s">
        <v>704</v>
      </c>
    </row>
    <row r="19" spans="1:17" ht="20.100000000000001" customHeight="1" x14ac:dyDescent="0.2">
      <c r="A19" s="5" t="str">
        <f>HYPERLINK("#'Input - Solid waste'!A1", "Solid waste")</f>
        <v>Solid waste</v>
      </c>
      <c r="D19" s="33"/>
      <c r="E19" s="247">
        <v>1200</v>
      </c>
      <c r="F19" s="13" t="s">
        <v>988</v>
      </c>
      <c r="G19" s="13" t="s">
        <v>527</v>
      </c>
      <c r="H19" s="150">
        <v>0.35</v>
      </c>
      <c r="I19" s="13" t="s">
        <v>989</v>
      </c>
      <c r="J19" s="13" t="s">
        <v>527</v>
      </c>
      <c r="K19" s="150">
        <v>0.22</v>
      </c>
      <c r="L19" s="13" t="s">
        <v>990</v>
      </c>
      <c r="M19" s="13" t="s">
        <v>991</v>
      </c>
      <c r="N19" s="150">
        <v>0.12</v>
      </c>
      <c r="O19" s="13" t="s">
        <v>992</v>
      </c>
      <c r="P19" s="13" t="s">
        <v>524</v>
      </c>
      <c r="Q19" s="150">
        <v>0.05</v>
      </c>
    </row>
    <row r="20" spans="1:17" ht="20.100000000000001" customHeight="1" x14ac:dyDescent="0.2">
      <c r="A20" s="5" t="str">
        <f>HYPERLINK("#'Input - Manure sent off-site'!A1", "Manure sent off-site")</f>
        <v>Manure sent off-site</v>
      </c>
      <c r="D20" s="33"/>
      <c r="E20" s="247">
        <v>3456</v>
      </c>
      <c r="F20" s="13" t="s">
        <v>993</v>
      </c>
      <c r="G20" s="13" t="s">
        <v>991</v>
      </c>
      <c r="H20" s="150">
        <v>0.2</v>
      </c>
      <c r="I20" s="13" t="s">
        <v>993</v>
      </c>
      <c r="J20" s="13" t="s">
        <v>522</v>
      </c>
      <c r="K20" s="150">
        <v>0.2</v>
      </c>
      <c r="L20" s="13"/>
      <c r="M20" s="13"/>
      <c r="N20" s="150"/>
      <c r="O20" s="13"/>
      <c r="P20" s="13"/>
      <c r="Q20" s="150"/>
    </row>
    <row r="21" spans="1:17" ht="20.100000000000001" customHeight="1" x14ac:dyDescent="0.2">
      <c r="A21" s="5" t="str">
        <f>HYPERLINK("#'Input - Data quality'!A1", "Data quality")</f>
        <v>Data quality</v>
      </c>
      <c r="D21" s="33" t="s">
        <v>994</v>
      </c>
      <c r="E21" s="247">
        <v>300</v>
      </c>
      <c r="F21" s="13" t="s">
        <v>995</v>
      </c>
      <c r="G21" s="13" t="s">
        <v>527</v>
      </c>
      <c r="H21" s="150">
        <v>0.8</v>
      </c>
      <c r="I21" s="13" t="s">
        <v>996</v>
      </c>
      <c r="J21" s="13" t="s">
        <v>997</v>
      </c>
      <c r="K21" s="150">
        <v>0.2</v>
      </c>
      <c r="L21" s="13"/>
      <c r="M21" s="13"/>
      <c r="N21" s="150"/>
      <c r="O21" s="13"/>
      <c r="P21" s="13"/>
      <c r="Q21" s="150"/>
    </row>
    <row r="22" spans="1:17" ht="20.100000000000001" customHeight="1" x14ac:dyDescent="0.2">
      <c r="A22" s="5" t="str">
        <f>HYPERLINK("#'Input - Fert Prod System'!A1", "Fert Prod System")</f>
        <v>Fert Prod System</v>
      </c>
      <c r="D22" s="33"/>
      <c r="E22" s="247">
        <v>500</v>
      </c>
      <c r="F22" s="13" t="s">
        <v>998</v>
      </c>
      <c r="G22" s="13" t="s">
        <v>526</v>
      </c>
      <c r="H22" s="150">
        <v>1</v>
      </c>
      <c r="I22" s="13"/>
      <c r="J22" s="13"/>
      <c r="K22" s="150"/>
      <c r="L22" s="13"/>
      <c r="M22" s="13"/>
      <c r="N22" s="150"/>
      <c r="O22" s="13"/>
      <c r="P22" s="13"/>
      <c r="Q22" s="150"/>
    </row>
    <row r="23" spans="1:17" ht="20.100000000000001" customHeight="1" x14ac:dyDescent="0.2">
      <c r="A23" s="5" t="str">
        <f>HYPERLINK("#'Input - Fertiliser'!A1", "Fertiliser")</f>
        <v>Fertiliser</v>
      </c>
      <c r="D23" s="33"/>
      <c r="E23" s="247"/>
      <c r="F23" s="13"/>
      <c r="G23" s="13"/>
      <c r="H23" s="150"/>
      <c r="I23" s="13"/>
      <c r="J23" s="13"/>
      <c r="K23" s="150"/>
      <c r="L23" s="13"/>
      <c r="M23" s="13"/>
      <c r="N23" s="150"/>
      <c r="O23" s="13"/>
      <c r="P23" s="13"/>
      <c r="Q23" s="150"/>
    </row>
    <row r="24" spans="1:17" ht="20.100000000000001" customHeight="1" x14ac:dyDescent="0.2">
      <c r="D24" s="33"/>
      <c r="E24" s="247"/>
      <c r="F24" s="13"/>
      <c r="G24" s="13"/>
      <c r="H24" s="150"/>
      <c r="I24" s="13"/>
      <c r="J24" s="13"/>
      <c r="K24" s="150"/>
      <c r="L24" s="13"/>
      <c r="M24" s="13"/>
      <c r="N24" s="150"/>
      <c r="O24" s="13"/>
      <c r="P24" s="13"/>
      <c r="Q24" s="150"/>
    </row>
    <row r="25" spans="1:17" ht="20.100000000000001" customHeight="1" x14ac:dyDescent="0.2">
      <c r="D25" s="33"/>
      <c r="E25" s="247"/>
      <c r="F25" s="13"/>
      <c r="G25" s="13"/>
      <c r="H25" s="150"/>
      <c r="I25" s="13"/>
      <c r="J25" s="13"/>
      <c r="K25" s="150"/>
      <c r="L25" s="13"/>
      <c r="M25" s="13"/>
      <c r="N25" s="150"/>
      <c r="O25" s="13"/>
      <c r="P25" s="13"/>
      <c r="Q25" s="150"/>
    </row>
    <row r="26" spans="1:17" ht="20.100000000000001" customHeight="1" x14ac:dyDescent="0.2">
      <c r="A26" s="6" t="s">
        <v>2</v>
      </c>
      <c r="D26" s="33"/>
      <c r="E26" s="247"/>
      <c r="F26" s="13"/>
      <c r="G26" s="13"/>
      <c r="H26" s="150"/>
      <c r="I26" s="13"/>
      <c r="J26" s="13"/>
      <c r="K26" s="150"/>
      <c r="L26" s="13"/>
      <c r="M26" s="13"/>
      <c r="N26" s="150"/>
      <c r="O26" s="13"/>
      <c r="P26" s="13"/>
      <c r="Q26" s="150"/>
    </row>
    <row r="27" spans="1:17" ht="20.100000000000001" customHeight="1" x14ac:dyDescent="0.2">
      <c r="A27" s="5" t="str">
        <f>HYPERLINK("#'4.6.1.1-2 Methane'!A1", "4.6.1.1-2 Manure Methane")</f>
        <v>4.6.1.1-2 Manure Methane</v>
      </c>
      <c r="D27" s="33"/>
      <c r="E27" s="247"/>
      <c r="F27" s="13"/>
      <c r="G27" s="13"/>
      <c r="H27" s="150"/>
      <c r="I27" s="13"/>
      <c r="J27" s="13"/>
      <c r="K27" s="150"/>
      <c r="L27" s="13"/>
      <c r="M27" s="13"/>
      <c r="N27" s="150"/>
      <c r="O27" s="13"/>
      <c r="P27" s="13"/>
      <c r="Q27" s="150"/>
    </row>
    <row r="28" spans="1:17" ht="20.100000000000001" customHeight="1" x14ac:dyDescent="0.2">
      <c r="A28" s="5" t="str">
        <f>HYPERLINK("#'4.6.1.3-4 Direct N20'!A1", "4.6.1.3-4 Manure Direct N2O")</f>
        <v>4.6.1.3-4 Manure Direct N2O</v>
      </c>
      <c r="D28" s="33"/>
      <c r="E28" s="247"/>
      <c r="F28" s="13"/>
      <c r="G28" s="13"/>
      <c r="H28" s="150"/>
      <c r="I28" s="13"/>
      <c r="J28" s="13"/>
      <c r="K28" s="150"/>
      <c r="L28" s="13"/>
      <c r="M28" s="13"/>
      <c r="N28" s="150"/>
      <c r="O28" s="13"/>
      <c r="P28" s="13"/>
      <c r="Q28" s="150"/>
    </row>
    <row r="29" spans="1:17" ht="20.100000000000001" customHeight="1" x14ac:dyDescent="0.2">
      <c r="A29" s="5" t="str">
        <f>HYPERLINK("#'4.6.1.5-6 Atmos Dep'!A1", "4.6.1.5-6 Manure Atmos Dep")</f>
        <v>4.6.1.5-6 Manure Atmos Dep</v>
      </c>
    </row>
    <row r="30" spans="1:17" ht="20.100000000000001" customHeight="1" x14ac:dyDescent="0.2">
      <c r="A30" s="5" t="str">
        <f>HYPERLINK("#'4.6.1.7-8 Leaching and runoff'!A1", "4.6.1.7-8 Manure Leaching and runoff")</f>
        <v>4.6.1.7-8 Manure Leaching and runoff</v>
      </c>
    </row>
    <row r="31" spans="1:17" ht="20.100000000000001" customHeight="1" x14ac:dyDescent="0.2">
      <c r="A31" s="5" t="str">
        <f>HYPERLINK("#'4.6.1.9 Manure applied to soils'!A1", "4.6.1.9 Manure applied to soils")</f>
        <v>4.6.1.9 Manure applied to soils</v>
      </c>
      <c r="D31" s="244" t="s">
        <v>999</v>
      </c>
    </row>
    <row r="32" spans="1:17" ht="20.100000000000001" customHeight="1" x14ac:dyDescent="0.2">
      <c r="A32" s="5" t="str">
        <f>HYPERLINK("#'4.6.1.10-11 Soil direct N2O'!A1", "4.6.1.10-11 Soil direct N2O")</f>
        <v>4.6.1.10-11 Soil direct N2O</v>
      </c>
      <c r="D32" s="78" t="s">
        <v>952</v>
      </c>
      <c r="E32" s="78" t="s">
        <v>953</v>
      </c>
      <c r="F32" s="78" t="s">
        <v>1000</v>
      </c>
    </row>
    <row r="33" spans="1:6" ht="20.100000000000001" customHeight="1" x14ac:dyDescent="0.2">
      <c r="A33" s="5" t="str">
        <f>HYPERLINK("#'4.6.1.12-13 Soil atmos dep'!A1", "4.6.1.12-13 Soil atmos dep")</f>
        <v>4.6.1.12-13 Soil atmos dep</v>
      </c>
      <c r="D33" s="33" t="s">
        <v>1001</v>
      </c>
      <c r="E33" s="198" t="s">
        <v>1002</v>
      </c>
      <c r="F33" s="74">
        <v>100</v>
      </c>
    </row>
    <row r="34" spans="1:6" ht="20.100000000000001" customHeight="1" x14ac:dyDescent="0.2">
      <c r="A34" s="5" t="str">
        <f>HYPERLINK("#'4.6.1.14-15 Soil leach runoff'!A1", "4.6.1.14-15 Soil leach runoff")</f>
        <v>4.6.1.14-15 Soil leach runoff</v>
      </c>
      <c r="D34" s="33" t="s">
        <v>1003</v>
      </c>
      <c r="E34" s="248" t="s">
        <v>1004</v>
      </c>
      <c r="F34" s="242">
        <v>100</v>
      </c>
    </row>
    <row r="35" spans="1:6" ht="20.100000000000001" customHeight="1" x14ac:dyDescent="0.2">
      <c r="A35" s="5" t="str">
        <f>HYPERLINK("#'8.1.1.1-2 Transport fuel'!A1", "8.1.1.1-2 Transport fuel")</f>
        <v>8.1.1.1-2 Transport fuel</v>
      </c>
      <c r="D35" s="33" t="s">
        <v>1005</v>
      </c>
      <c r="E35" s="248" t="s">
        <v>1006</v>
      </c>
      <c r="F35" s="242">
        <v>100</v>
      </c>
    </row>
    <row r="36" spans="1:6" ht="20.100000000000001" customHeight="1" x14ac:dyDescent="0.2">
      <c r="A36" s="5" t="str">
        <f>HYPERLINK("#'8.2.1.1-2 Stationary fuel'!A1", "8.2.1.1-2 Stationary fuel")</f>
        <v>8.2.1.1-2 Stationary fuel</v>
      </c>
      <c r="D36" s="33" t="s">
        <v>1007</v>
      </c>
      <c r="E36" s="248" t="s">
        <v>1008</v>
      </c>
      <c r="F36" s="242">
        <v>100</v>
      </c>
    </row>
    <row r="37" spans="1:6" ht="20.100000000000001" customHeight="1" x14ac:dyDescent="0.2">
      <c r="A37" s="5" t="str">
        <f>HYPERLINK("#'10.1.1-2 Solid waste treatment'!A1", "10.1.1.1-2 Solid waste")</f>
        <v>10.1.1.1-2 Solid waste</v>
      </c>
      <c r="D37" s="33" t="s">
        <v>1001</v>
      </c>
      <c r="E37" s="248" t="s">
        <v>1002</v>
      </c>
      <c r="F37" s="242">
        <v>100</v>
      </c>
    </row>
    <row r="38" spans="1:6" ht="20.100000000000001" customHeight="1" x14ac:dyDescent="0.2">
      <c r="A38" s="5" t="str">
        <f>HYPERLINK("#'14.1.1-2 Purchased electricity'!A1", "14.1.1-2 Purchased electricity")</f>
        <v>14.1.1-2 Purchased electricity</v>
      </c>
      <c r="D38" s="33" t="s">
        <v>1003</v>
      </c>
      <c r="E38" s="248" t="s">
        <v>1004</v>
      </c>
      <c r="F38" s="242">
        <v>100</v>
      </c>
    </row>
    <row r="39" spans="1:6" ht="20.100000000000001" customHeight="1" x14ac:dyDescent="0.2">
      <c r="A39" s="5" t="str">
        <f>HYPERLINK("#'15 Scope 3'!A1", "15 Scope 3")</f>
        <v>15 Scope 3</v>
      </c>
      <c r="D39" s="33"/>
      <c r="E39" s="198"/>
      <c r="F39" s="74"/>
    </row>
    <row r="40" spans="1:6" ht="20.100000000000001" customHeight="1" x14ac:dyDescent="0.2">
      <c r="A40" s="5" t="str">
        <f>HYPERLINK("#'Calcs - Manure sent off-site'!A1", "Calcs - Manure sent off-site")</f>
        <v>Calcs - Manure sent off-site</v>
      </c>
      <c r="D40" s="33"/>
      <c r="E40" s="198"/>
      <c r="F40" s="74"/>
    </row>
    <row r="41" spans="1:6" ht="20.100000000000001" customHeight="1" x14ac:dyDescent="0.2">
      <c r="A41" s="5" t="str">
        <f>HYPERLINK("#'5.1.1.1-2 Inorganic fert N2O'!A1", "5.1.1.1-2 Inorganic fert N2O")</f>
        <v>5.1.1.1-2 Inorganic fert N2O</v>
      </c>
      <c r="D41" s="33"/>
      <c r="E41" s="198"/>
      <c r="F41" s="74"/>
    </row>
    <row r="42" spans="1:6" ht="20.100000000000001" customHeight="1" x14ac:dyDescent="0.2">
      <c r="A42" s="5" t="str">
        <f>HYPERLINK("#'5.1.1.3-4 Inorganic fert CO2'!A1", "5.1.1.3-4 Inorganic fert CO2")</f>
        <v>5.1.1.3-4 Inorganic fert CO2</v>
      </c>
      <c r="D42" s="33"/>
      <c r="E42" s="198"/>
      <c r="F42" s="74"/>
    </row>
    <row r="43" spans="1:6" ht="20.100000000000001" customHeight="1" x14ac:dyDescent="0.2">
      <c r="A43" s="5" t="str">
        <f>HYPERLINK("#'5.2.1.1-2 Organic Fert N2O'!A1", "5.2.1.1-2 Organic Fert N2O")</f>
        <v>5.2.1.1-2 Organic Fert N2O</v>
      </c>
    </row>
    <row r="44" spans="1:6" ht="20.100000000000001" customHeight="1" x14ac:dyDescent="0.2">
      <c r="A44" s="5" t="str">
        <f>HYPERLINK("#'5.3.1.1-2 Lime CO2'!A1", "5.3.1.1-2 Lime CO2")</f>
        <v>5.3.1.1-2 Lime CO2</v>
      </c>
    </row>
    <row r="45" spans="1:6" ht="20.100000000000001" customHeight="1" x14ac:dyDescent="0.2">
      <c r="A45" s="5" t="str">
        <f>HYPERLINK("#'5.4.1.1-4 Atmos deposition'!A1", "5.4.1.1-4 Atmos deposition")</f>
        <v>5.4.1.1-4 Atmos deposition</v>
      </c>
    </row>
    <row r="46" spans="1:6" ht="20.100000000000001" customHeight="1" x14ac:dyDescent="0.2">
      <c r="A46" s="5" t="str">
        <f>HYPERLINK("#'5.5.1.1-2 Leaching and runoff'!A1", "5.5.1.1-2 Leaching and runoff")</f>
        <v>5.5.1.1-2 Leaching and runoff</v>
      </c>
      <c r="D46" s="2" t="s">
        <v>1009</v>
      </c>
      <c r="E46" s="239"/>
      <c r="F46" s="239"/>
    </row>
    <row r="47" spans="1:6" ht="20.100000000000001" customHeight="1" x14ac:dyDescent="0.2">
      <c r="D47" s="1" t="str">
        <f>'Constants - Scope 3'!E202</f>
        <v>Animal ear tags (large)</v>
      </c>
      <c r="E47" s="74">
        <v>100</v>
      </c>
      <c r="F47" s="16" t="s">
        <v>1010</v>
      </c>
    </row>
    <row r="48" spans="1:6" ht="20.100000000000001" customHeight="1" x14ac:dyDescent="0.2">
      <c r="D48" s="1" t="str">
        <f>'Constants - Scope 3'!E203</f>
        <v>Animal ear tags (small)</v>
      </c>
      <c r="E48" s="74">
        <v>200</v>
      </c>
      <c r="F48" s="16" t="s">
        <v>1010</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3">
    <dataValidation type="list" allowBlank="1" showInputMessage="1" showErrorMessage="1" sqref="E33:E42" xr:uid="{0A616AB4-AEB1-45F4-9131-B741FB7D330E}">
      <formula1>INDIRECT("Table_SourceData_Scope3_ChemicalsPharmacy[Product]")</formula1>
    </dataValidation>
    <dataValidation type="list" allowBlank="1" showInputMessage="1" showErrorMessage="1" sqref="M19:M28 P19:P28 J19:J28 G19:G28" xr:uid="{78BD7D98-87E1-4B56-82D0-B7B08FD8F04C}">
      <formula1>INDIRECT("Table_ProductRegions_" &amp; SUBSTITUTE(SUBSTITUTE(SUBSTITUTE(SUBSTITUTE(F19, " ", ""), ",", ""), "(", ""), ")", "") &amp; "[Region]")</formula1>
    </dataValidation>
    <dataValidation type="list" allowBlank="1" showInputMessage="1" showErrorMessage="1" sqref="F19:F28 I19:I28 L19:L28 O19:O28" xr:uid="{F6B688AB-9B73-4F03-9B8A-50FAC2A18124}">
      <formula1>INDIRECT(_xlfn.UNIQUE("Table_SourceData_Scope3_Feed[Product]"))</formula1>
    </dataValidation>
  </dataValidation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209D4-8F70-4D2F-9620-47601DDFEEE4}">
  <sheetPr>
    <tabColor theme="5" tint="-0.249977111117893"/>
  </sheetPr>
  <dimension ref="A1:J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1011</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D6" s="2" t="s">
        <v>1012</v>
      </c>
    </row>
    <row r="8" spans="1:10" ht="20.100000000000001" customHeight="1" x14ac:dyDescent="0.2">
      <c r="A8" s="7" t="s">
        <v>0</v>
      </c>
      <c r="D8" s="19" t="s">
        <v>1013</v>
      </c>
      <c r="E8" s="19" t="s">
        <v>1014</v>
      </c>
      <c r="F8" s="19" t="s">
        <v>1015</v>
      </c>
      <c r="G8" s="19" t="s">
        <v>1016</v>
      </c>
      <c r="H8" s="19" t="s">
        <v>1017</v>
      </c>
    </row>
    <row r="9" spans="1:10" ht="20.100000000000001" customHeight="1" x14ac:dyDescent="0.2">
      <c r="A9" s="5" t="str">
        <f>HYPERLINK("#'Input - Enterprise'!A1", "Enterprise")</f>
        <v>Enterprise</v>
      </c>
      <c r="D9" s="33" t="s">
        <v>1018</v>
      </c>
      <c r="E9" s="13" t="s">
        <v>1019</v>
      </c>
      <c r="F9" s="19">
        <v>986</v>
      </c>
      <c r="G9" s="19">
        <v>10</v>
      </c>
      <c r="H9" s="19">
        <v>52</v>
      </c>
    </row>
    <row r="10" spans="1:10" ht="20.100000000000001" customHeight="1" x14ac:dyDescent="0.2">
      <c r="A10" s="5" t="str">
        <f>HYPERLINK("#'Input - Site'!A1", "Site")</f>
        <v>Site</v>
      </c>
      <c r="D10" s="33" t="s">
        <v>1020</v>
      </c>
      <c r="E10" s="13" t="s">
        <v>1021</v>
      </c>
      <c r="F10" s="19">
        <v>65</v>
      </c>
      <c r="G10" s="19">
        <v>10</v>
      </c>
      <c r="H10" s="19">
        <v>6</v>
      </c>
    </row>
    <row r="11" spans="1:10" ht="20.100000000000001" customHeight="1" x14ac:dyDescent="0.2">
      <c r="A11" s="5" t="str">
        <f>HYPERLINK("#'Input - Poultry'!A1", "Poultry")</f>
        <v>Poultry</v>
      </c>
      <c r="D11" s="33"/>
      <c r="E11" s="13"/>
      <c r="F11" s="19"/>
      <c r="G11" s="19"/>
      <c r="H11" s="19"/>
    </row>
    <row r="12" spans="1:10" ht="20.100000000000001" customHeight="1" x14ac:dyDescent="0.2">
      <c r="A12" s="5" t="str">
        <f>HYPERLINK("#'Input - Livestock sales'!A1", "Livestock sales")</f>
        <v>Livestock sales</v>
      </c>
      <c r="D12" s="33"/>
      <c r="E12" s="13"/>
      <c r="F12" s="19"/>
      <c r="G12" s="19"/>
      <c r="H12" s="19"/>
    </row>
    <row r="13" spans="1:10" ht="20.100000000000001" customHeight="1" x14ac:dyDescent="0.2">
      <c r="A13" s="5" t="str">
        <f>HYPERLINK("#'Input - Poultry purchases'!A1", "Poultry purchases")</f>
        <v>Poultry purchases</v>
      </c>
      <c r="D13" s="33"/>
      <c r="E13" s="13"/>
      <c r="F13" s="19"/>
      <c r="G13" s="19"/>
      <c r="H13" s="19"/>
    </row>
    <row r="14" spans="1:10" ht="20.100000000000001" customHeight="1" x14ac:dyDescent="0.2">
      <c r="A14" s="5" t="str">
        <f>HYPERLINK("#'Input - Fuel'!A1", "Fuel")</f>
        <v>Fuel</v>
      </c>
      <c r="D14" s="33"/>
      <c r="E14" s="13"/>
      <c r="F14" s="19"/>
      <c r="G14" s="19"/>
      <c r="H14" s="19"/>
    </row>
    <row r="15" spans="1:10" ht="20.100000000000001" customHeight="1" x14ac:dyDescent="0.2">
      <c r="A15" s="5" t="str">
        <f>HYPERLINK("#'Input - Electricity'!A1", "Electricity")</f>
        <v>Electricity</v>
      </c>
      <c r="D15" s="33"/>
      <c r="E15" s="13"/>
      <c r="F15" s="19"/>
      <c r="G15" s="19"/>
      <c r="H15" s="19"/>
    </row>
    <row r="16" spans="1:10" ht="20.100000000000001" customHeight="1" x14ac:dyDescent="0.2">
      <c r="A16" s="5" t="str">
        <f>HYPERLINK("#'Input - Common farm inputs'!A1", "Common farm inputs")</f>
        <v>Common farm inputs</v>
      </c>
      <c r="D16" s="33"/>
      <c r="E16" s="13"/>
      <c r="F16" s="19"/>
      <c r="G16" s="19"/>
      <c r="H16" s="19"/>
    </row>
    <row r="17" spans="1:8" ht="20.100000000000001" customHeight="1" x14ac:dyDescent="0.2">
      <c r="A17" s="5" t="str">
        <f>HYPERLINK("#'Input - Livestock farm Inputs'!A1", "Livestock farm Inputs")</f>
        <v>Livestock farm Inputs</v>
      </c>
      <c r="D17" s="33"/>
      <c r="E17" s="13"/>
      <c r="F17" s="19"/>
      <c r="G17" s="19"/>
      <c r="H17" s="19"/>
    </row>
    <row r="18" spans="1:8" ht="20.100000000000001" customHeight="1" x14ac:dyDescent="0.2">
      <c r="A18" s="100" t="str">
        <f>HYPERLINK("#'Input - Freight'!A1", "Freight")</f>
        <v>Freight</v>
      </c>
      <c r="D18" s="33"/>
      <c r="E18" s="13"/>
      <c r="F18" s="19"/>
      <c r="G18" s="19"/>
      <c r="H18" s="19"/>
    </row>
    <row r="19" spans="1:8" ht="20.100000000000001" customHeight="1" x14ac:dyDescent="0.2">
      <c r="A19" s="5" t="str">
        <f>HYPERLINK("#'Input - Solid waste'!A1", "Solid waste")</f>
        <v>Solid waste</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row>
    <row r="22" spans="1:8" ht="20.100000000000001" customHeight="1" x14ac:dyDescent="0.2">
      <c r="A22" s="5" t="str">
        <f>HYPERLINK("#'Input - Fert Prod System'!A1", "Fert Prod System")</f>
        <v>Fert Prod System</v>
      </c>
      <c r="D22" s="2" t="s">
        <v>1022</v>
      </c>
    </row>
    <row r="23" spans="1:8" ht="20.100000000000001" customHeight="1" x14ac:dyDescent="0.2">
      <c r="A23" s="5" t="str">
        <f>HYPERLINK("#'Input - Fertiliser'!A1", "Fertiliser")</f>
        <v>Fertiliser</v>
      </c>
    </row>
    <row r="24" spans="1:8" ht="20.100000000000001" customHeight="1" x14ac:dyDescent="0.2">
      <c r="D24" s="19" t="s">
        <v>1013</v>
      </c>
      <c r="E24" s="19" t="s">
        <v>1014</v>
      </c>
      <c r="F24" s="19" t="s">
        <v>1015</v>
      </c>
      <c r="G24" s="19" t="s">
        <v>1016</v>
      </c>
      <c r="H24" s="19" t="s">
        <v>1017</v>
      </c>
    </row>
    <row r="25" spans="1:8" ht="20.100000000000001" customHeight="1" x14ac:dyDescent="0.2">
      <c r="D25" s="33" t="s">
        <v>1023</v>
      </c>
      <c r="E25" s="13" t="s">
        <v>1019</v>
      </c>
      <c r="F25" s="19">
        <v>65</v>
      </c>
      <c r="G25" s="19">
        <v>20</v>
      </c>
      <c r="H25" s="19">
        <v>52</v>
      </c>
    </row>
    <row r="26" spans="1:8" ht="20.100000000000001" customHeight="1" x14ac:dyDescent="0.2">
      <c r="A26" s="6" t="s">
        <v>2</v>
      </c>
      <c r="D26" s="33"/>
      <c r="E26" s="13"/>
      <c r="F26" s="19"/>
      <c r="G26" s="19"/>
      <c r="H26" s="19"/>
    </row>
    <row r="27" spans="1:8" ht="20.100000000000001" customHeight="1" x14ac:dyDescent="0.2">
      <c r="A27" s="5" t="str">
        <f>HYPERLINK("#'4.6.1.1-2 Methane'!A1", "4.6.1.1-2 Manure Methane")</f>
        <v>4.6.1.1-2 Manure Methane</v>
      </c>
      <c r="D27" s="33"/>
      <c r="E27" s="13"/>
      <c r="F27" s="19"/>
      <c r="G27" s="19"/>
      <c r="H27" s="19"/>
    </row>
    <row r="28" spans="1:8" ht="20.100000000000001" customHeight="1" x14ac:dyDescent="0.2">
      <c r="A28" s="5" t="str">
        <f>HYPERLINK("#'4.6.1.3-4 Direct N20'!A1", "4.6.1.3-4 Manure Direct N2O")</f>
        <v>4.6.1.3-4 Manure Direct N2O</v>
      </c>
      <c r="D28" s="33"/>
      <c r="E28" s="13"/>
      <c r="F28" s="19"/>
      <c r="G28" s="19"/>
      <c r="H28" s="19"/>
    </row>
    <row r="29" spans="1:8" ht="20.100000000000001" customHeight="1" x14ac:dyDescent="0.2">
      <c r="A29" s="5" t="str">
        <f>HYPERLINK("#'4.6.1.5-6 Atmos Dep'!A1", "4.6.1.5-6 Manure Atmos Dep")</f>
        <v>4.6.1.5-6 Manure Atmos Dep</v>
      </c>
      <c r="D29" s="33"/>
      <c r="E29" s="13"/>
      <c r="F29" s="19"/>
      <c r="G29" s="19"/>
      <c r="H29" s="19"/>
    </row>
    <row r="30" spans="1:8" ht="20.100000000000001" customHeight="1" x14ac:dyDescent="0.2">
      <c r="A30" s="5" t="str">
        <f>HYPERLINK("#'4.6.1.7-8 Leaching and runoff'!A1", "4.6.1.7-8 Manure Leaching and runoff")</f>
        <v>4.6.1.7-8 Manure Leaching and runoff</v>
      </c>
      <c r="D30" s="33"/>
      <c r="E30" s="13"/>
      <c r="F30" s="19"/>
      <c r="G30" s="19"/>
      <c r="H30" s="19"/>
    </row>
    <row r="31" spans="1:8" ht="20.100000000000001" customHeight="1" x14ac:dyDescent="0.2">
      <c r="A31" s="5" t="str">
        <f>HYPERLINK("#'4.6.1.9 Manure applied to soils'!A1", "4.6.1.9 Manure applied to soils")</f>
        <v>4.6.1.9 Manure applied to soils</v>
      </c>
      <c r="D31" s="33"/>
      <c r="E31" s="13"/>
      <c r="F31" s="19"/>
      <c r="G31" s="19"/>
      <c r="H31" s="19"/>
    </row>
    <row r="32" spans="1:8" ht="20.100000000000001" customHeight="1" x14ac:dyDescent="0.2">
      <c r="A32" s="5" t="str">
        <f>HYPERLINK("#'4.6.1.10-11 Soil direct N2O'!A1", "4.6.1.10-11 Soil direct N2O")</f>
        <v>4.6.1.10-11 Soil direct N2O</v>
      </c>
      <c r="D32" s="33"/>
      <c r="E32" s="13"/>
      <c r="F32" s="19"/>
      <c r="G32" s="19"/>
      <c r="H32" s="19"/>
    </row>
    <row r="33" spans="1:8" ht="20.100000000000001" customHeight="1" x14ac:dyDescent="0.2">
      <c r="A33" s="5" t="str">
        <f>HYPERLINK("#'4.6.1.12-13 Soil atmos dep'!A1", "4.6.1.12-13 Soil atmos dep")</f>
        <v>4.6.1.12-13 Soil atmos dep</v>
      </c>
      <c r="D33" s="33"/>
      <c r="E33" s="13"/>
      <c r="F33" s="19"/>
      <c r="G33" s="19"/>
      <c r="H33" s="19"/>
    </row>
    <row r="34" spans="1:8" ht="20.100000000000001" customHeight="1" x14ac:dyDescent="0.2">
      <c r="A34" s="5" t="str">
        <f>HYPERLINK("#'4.6.1.14-15 Soil leach runoff'!A1", "4.6.1.14-15 Soil leach runoff")</f>
        <v>4.6.1.14-15 Soil leach runoff</v>
      </c>
      <c r="D34" s="33"/>
      <c r="E34" s="13"/>
      <c r="F34" s="19"/>
      <c r="G34" s="19"/>
      <c r="H34" s="19"/>
    </row>
    <row r="35" spans="1:8" ht="20.100000000000001" customHeight="1" x14ac:dyDescent="0.2">
      <c r="A35" s="5" t="str">
        <f>HYPERLINK("#'8.1.1.1-2 Transport fuel'!A1", "8.1.1.1-2 Transport fuel")</f>
        <v>8.1.1.1-2 Transport fuel</v>
      </c>
    </row>
    <row r="36" spans="1:8" ht="20.100000000000001" customHeight="1" x14ac:dyDescent="0.2">
      <c r="A36" s="5" t="str">
        <f>HYPERLINK("#'8.2.1.1-2 Stationary fuel'!A1", "8.2.1.1-2 Stationary fuel")</f>
        <v>8.2.1.1-2 Stationary fuel</v>
      </c>
    </row>
    <row r="37" spans="1:8" ht="20.100000000000001" customHeight="1" x14ac:dyDescent="0.2">
      <c r="A37" s="5" t="str">
        <f>HYPERLINK("#'10.1.1-2 Solid waste treatment'!A1", "10.1.1.1-2 Solid waste")</f>
        <v>10.1.1.1-2 Solid waste</v>
      </c>
    </row>
    <row r="38" spans="1:8" ht="20.100000000000001" customHeight="1" x14ac:dyDescent="0.2">
      <c r="A38" s="5" t="str">
        <f>HYPERLINK("#'14.1.1-2 Purchased electricity'!A1", "14.1.1-2 Purchased electricity")</f>
        <v>14.1.1-2 Purchased electricity</v>
      </c>
    </row>
    <row r="39" spans="1:8" ht="20.100000000000001" customHeight="1" x14ac:dyDescent="0.2">
      <c r="A39" s="5" t="str">
        <f>HYPERLINK("#'15 Scope 3'!A1", "15 Scope 3")</f>
        <v>15 Scope 3</v>
      </c>
    </row>
    <row r="40" spans="1:8" ht="20.100000000000001" customHeight="1" x14ac:dyDescent="0.2">
      <c r="A40" s="5" t="str">
        <f>HYPERLINK("#'Calcs - Manure sent off-site'!A1", "Calcs - Manure sent off-site")</f>
        <v>Calcs - Manure sent off-site</v>
      </c>
    </row>
    <row r="41" spans="1:8" ht="20.100000000000001" customHeight="1" x14ac:dyDescent="0.2">
      <c r="A41" s="5" t="str">
        <f>HYPERLINK("#'5.1.1.1-2 Inorganic fert N2O'!A1", "5.1.1.1-2 Inorganic fert N2O")</f>
        <v>5.1.1.1-2 Inorganic fert N2O</v>
      </c>
    </row>
    <row r="42" spans="1:8" ht="20.100000000000001" customHeight="1" x14ac:dyDescent="0.2">
      <c r="A42" s="5" t="str">
        <f>HYPERLINK("#'5.1.1.3-4 Inorganic fert CO2'!A1", "5.1.1.3-4 Inorganic fert CO2")</f>
        <v>5.1.1.3-4 Inorganic fert CO2</v>
      </c>
    </row>
    <row r="43" spans="1:8" ht="20.100000000000001" customHeight="1" x14ac:dyDescent="0.2">
      <c r="A43" s="5" t="str">
        <f>HYPERLINK("#'5.2.1.1-2 Organic Fert N2O'!A1", "5.2.1.1-2 Organic Fert N2O")</f>
        <v>5.2.1.1-2 Organic Fert N2O</v>
      </c>
    </row>
    <row r="44" spans="1:8" ht="20.100000000000001" customHeight="1" x14ac:dyDescent="0.2">
      <c r="A44" s="5" t="str">
        <f>HYPERLINK("#'5.3.1.1-2 Lime CO2'!A1", "5.3.1.1-2 Lime CO2")</f>
        <v>5.3.1.1-2 Lime CO2</v>
      </c>
    </row>
    <row r="45" spans="1:8" ht="20.100000000000001" customHeight="1" x14ac:dyDescent="0.2">
      <c r="A45" s="5" t="str">
        <f>HYPERLINK("#'5.4.1.1-4 Atmos deposition'!A1", "5.4.1.1-4 Atmos deposition")</f>
        <v>5.4.1.1-4 Atmos deposition</v>
      </c>
    </row>
    <row r="46" spans="1:8"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1">
    <dataValidation type="list" allowBlank="1" showInputMessage="1" showErrorMessage="1" sqref="E9:E18 E25:E34" xr:uid="{52CCA229-F8CD-4887-AE95-08D6A61B924C}">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E40CB-0FD7-4DE5-BDFB-F84990651D47}">
  <sheetPr>
    <tabColor theme="5" tint="-0.249977111117893"/>
  </sheetPr>
  <dimension ref="A1:L385"/>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874</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875</v>
      </c>
    </row>
    <row r="7" spans="1:10" ht="20.100000000000001" customHeight="1" x14ac:dyDescent="0.2">
      <c r="D7" s="35" t="s">
        <v>557</v>
      </c>
      <c r="E7" s="38"/>
    </row>
    <row r="8" spans="1:10" ht="20.100000000000001" customHeight="1" x14ac:dyDescent="0.2">
      <c r="A8" s="7" t="s">
        <v>0</v>
      </c>
    </row>
    <row r="9" spans="1:10" ht="20.100000000000001" customHeight="1" x14ac:dyDescent="0.2">
      <c r="A9" s="5" t="str">
        <f>HYPERLINK("#'Input - Enterprise'!A1", "Enterprise")</f>
        <v>Enterprise</v>
      </c>
      <c r="D9" s="78" t="s">
        <v>156</v>
      </c>
      <c r="E9" s="78" t="s">
        <v>876</v>
      </c>
      <c r="F9" s="78" t="s">
        <v>877</v>
      </c>
      <c r="G9" s="78" t="s">
        <v>878</v>
      </c>
      <c r="H9" s="78" t="s">
        <v>879</v>
      </c>
      <c r="I9" s="78" t="s">
        <v>880</v>
      </c>
    </row>
    <row r="10" spans="1:10" ht="20.100000000000001" customHeight="1" x14ac:dyDescent="0.2">
      <c r="A10" s="5" t="str">
        <f>HYPERLINK("#'Input - Site'!A1", "Site")</f>
        <v>Site</v>
      </c>
      <c r="D10" s="33" t="s">
        <v>881</v>
      </c>
      <c r="E10" s="13" t="s">
        <v>882</v>
      </c>
      <c r="F10" s="13" t="s">
        <v>883</v>
      </c>
      <c r="G10" s="13" t="s">
        <v>884</v>
      </c>
      <c r="H10" s="74">
        <v>50</v>
      </c>
      <c r="I10" s="13" t="s">
        <v>19</v>
      </c>
    </row>
    <row r="11" spans="1:10" ht="20.100000000000001" customHeight="1" x14ac:dyDescent="0.2">
      <c r="A11" s="5" t="str">
        <f>HYPERLINK("#'Input - Poultry'!A1", "Poultry")</f>
        <v>Poultry</v>
      </c>
      <c r="D11" s="33" t="s">
        <v>885</v>
      </c>
      <c r="E11" s="13" t="s">
        <v>882</v>
      </c>
      <c r="F11" s="13" t="s">
        <v>883</v>
      </c>
      <c r="G11" s="13" t="s">
        <v>886</v>
      </c>
      <c r="H11" s="74">
        <v>50</v>
      </c>
      <c r="I11" s="13" t="s">
        <v>887</v>
      </c>
    </row>
    <row r="12" spans="1:10" ht="20.100000000000001" customHeight="1" x14ac:dyDescent="0.2">
      <c r="A12" s="5" t="str">
        <f>HYPERLINK("#'Input - Livestock sales'!A1", "Livestock sales")</f>
        <v>Livestock sales</v>
      </c>
      <c r="D12" s="33" t="s">
        <v>888</v>
      </c>
      <c r="E12" s="13" t="s">
        <v>882</v>
      </c>
      <c r="F12" s="13" t="s">
        <v>889</v>
      </c>
      <c r="G12" s="13" t="s">
        <v>884</v>
      </c>
      <c r="H12" s="74">
        <v>50</v>
      </c>
      <c r="I12" s="13" t="s">
        <v>19</v>
      </c>
    </row>
    <row r="13" spans="1:10" ht="20.100000000000001" customHeight="1" x14ac:dyDescent="0.2">
      <c r="A13" s="5" t="str">
        <f>HYPERLINK("#'Input - Poultry purchases'!A1", "Poultry purchases")</f>
        <v>Poultry purchases</v>
      </c>
      <c r="D13" s="33" t="s">
        <v>890</v>
      </c>
      <c r="E13" s="13" t="s">
        <v>882</v>
      </c>
      <c r="F13" s="13" t="s">
        <v>889</v>
      </c>
      <c r="G13" s="13" t="s">
        <v>886</v>
      </c>
      <c r="H13" s="74">
        <v>50</v>
      </c>
      <c r="I13" s="13" t="s">
        <v>887</v>
      </c>
    </row>
    <row r="14" spans="1:10" ht="20.100000000000001" customHeight="1" x14ac:dyDescent="0.2">
      <c r="A14" s="5" t="str">
        <f>HYPERLINK("#'Input - Fuel'!A1", "Fuel")</f>
        <v>Fuel</v>
      </c>
      <c r="D14" s="33" t="s">
        <v>891</v>
      </c>
      <c r="E14" s="13" t="s">
        <v>892</v>
      </c>
      <c r="F14" s="13" t="s">
        <v>889</v>
      </c>
      <c r="G14" s="13" t="s">
        <v>884</v>
      </c>
      <c r="H14" s="74">
        <v>50</v>
      </c>
      <c r="I14" s="13" t="s">
        <v>19</v>
      </c>
    </row>
    <row r="15" spans="1:10" ht="20.100000000000001" customHeight="1" x14ac:dyDescent="0.2">
      <c r="A15" s="5" t="str">
        <f>HYPERLINK("#'Input - Electricity'!A1", "Electricity")</f>
        <v>Electricity</v>
      </c>
      <c r="D15" s="33" t="s">
        <v>893</v>
      </c>
      <c r="E15" s="13" t="s">
        <v>892</v>
      </c>
      <c r="F15" s="13" t="s">
        <v>889</v>
      </c>
      <c r="G15" s="13" t="s">
        <v>884</v>
      </c>
      <c r="H15" s="74">
        <v>50</v>
      </c>
      <c r="I15" s="13" t="s">
        <v>887</v>
      </c>
    </row>
    <row r="16" spans="1:10" ht="20.100000000000001" customHeight="1" x14ac:dyDescent="0.2">
      <c r="A16" s="5" t="str">
        <f>HYPERLINK("#'Input - Common farm inputs'!A1", "Common farm inputs")</f>
        <v>Common farm inputs</v>
      </c>
      <c r="D16" s="33" t="s">
        <v>894</v>
      </c>
      <c r="E16" s="13" t="s">
        <v>892</v>
      </c>
      <c r="F16" s="13" t="s">
        <v>889</v>
      </c>
      <c r="G16" s="13" t="s">
        <v>886</v>
      </c>
      <c r="H16" s="74">
        <v>50</v>
      </c>
      <c r="I16" s="13" t="s">
        <v>19</v>
      </c>
    </row>
    <row r="17" spans="1:11" ht="20.100000000000001" customHeight="1" x14ac:dyDescent="0.2">
      <c r="A17" s="5" t="str">
        <f>HYPERLINK("#'Input - Livestock farm Inputs'!A1", "Livestock farm Inputs")</f>
        <v>Livestock farm Inputs</v>
      </c>
      <c r="D17" s="33" t="s">
        <v>895</v>
      </c>
      <c r="E17" s="13" t="s">
        <v>892</v>
      </c>
      <c r="F17" s="13" t="s">
        <v>889</v>
      </c>
      <c r="G17" s="13" t="s">
        <v>886</v>
      </c>
      <c r="H17" s="74">
        <v>50</v>
      </c>
      <c r="I17" s="13" t="s">
        <v>887</v>
      </c>
    </row>
    <row r="18" spans="1:11" ht="20.100000000000001" customHeight="1" x14ac:dyDescent="0.2">
      <c r="A18" s="5" t="str">
        <f>HYPERLINK("#'Input - Freight'!A1", "Freight")</f>
        <v>Freight</v>
      </c>
      <c r="D18" s="33" t="s">
        <v>896</v>
      </c>
      <c r="E18" s="13" t="s">
        <v>892</v>
      </c>
      <c r="F18" s="13" t="s">
        <v>883</v>
      </c>
      <c r="G18" s="13" t="s">
        <v>884</v>
      </c>
      <c r="H18" s="74">
        <v>50</v>
      </c>
      <c r="I18" s="13" t="s">
        <v>19</v>
      </c>
    </row>
    <row r="19" spans="1:11" ht="20.100000000000001" customHeight="1" x14ac:dyDescent="0.2">
      <c r="A19" s="100" t="str">
        <f>HYPERLINK("#'Input - Solid waste'!A1", "Solid waste")</f>
        <v>Solid waste</v>
      </c>
      <c r="D19" s="33" t="s">
        <v>897</v>
      </c>
      <c r="E19" s="13" t="s">
        <v>892</v>
      </c>
      <c r="F19" s="13" t="s">
        <v>883</v>
      </c>
      <c r="G19" s="13" t="s">
        <v>884</v>
      </c>
      <c r="H19" s="74">
        <v>50</v>
      </c>
      <c r="I19" s="13" t="s">
        <v>887</v>
      </c>
    </row>
    <row r="20" spans="1:11" ht="20.100000000000001" customHeight="1" x14ac:dyDescent="0.2">
      <c r="A20" s="5" t="str">
        <f>HYPERLINK("#'Input - Manure sent off-site'!A1", "Manure sent off-site")</f>
        <v>Manure sent off-site</v>
      </c>
      <c r="D20" s="33" t="s">
        <v>898</v>
      </c>
      <c r="E20" s="13" t="s">
        <v>892</v>
      </c>
      <c r="F20" s="13" t="s">
        <v>883</v>
      </c>
      <c r="G20" s="13" t="s">
        <v>886</v>
      </c>
      <c r="H20" s="74">
        <v>50</v>
      </c>
      <c r="I20" s="13" t="s">
        <v>19</v>
      </c>
    </row>
    <row r="21" spans="1:11" ht="20.100000000000001" customHeight="1" x14ac:dyDescent="0.2">
      <c r="A21" s="5" t="str">
        <f>HYPERLINK("#'Input - Data quality'!A1", "Data quality")</f>
        <v>Data quality</v>
      </c>
      <c r="D21" s="33" t="s">
        <v>899</v>
      </c>
      <c r="E21" s="13" t="s">
        <v>892</v>
      </c>
      <c r="F21" s="13" t="s">
        <v>883</v>
      </c>
      <c r="G21" s="13" t="s">
        <v>886</v>
      </c>
      <c r="H21" s="74">
        <v>50</v>
      </c>
      <c r="I21" s="13" t="s">
        <v>887</v>
      </c>
    </row>
    <row r="22" spans="1:11" ht="20.100000000000001" customHeight="1" x14ac:dyDescent="0.2">
      <c r="A22" s="5" t="str">
        <f>HYPERLINK("#'Input - Fert Prod System'!A1", "Fert Prod System")</f>
        <v>Fert Prod System</v>
      </c>
      <c r="D22" s="33" t="s">
        <v>900</v>
      </c>
      <c r="E22" s="13" t="s">
        <v>892</v>
      </c>
      <c r="F22" s="13" t="s">
        <v>901</v>
      </c>
      <c r="G22" s="13" t="s">
        <v>884</v>
      </c>
      <c r="H22" s="74">
        <v>50</v>
      </c>
      <c r="I22" s="13" t="s">
        <v>19</v>
      </c>
    </row>
    <row r="23" spans="1:11" ht="20.100000000000001" customHeight="1" x14ac:dyDescent="0.2">
      <c r="A23" s="5" t="str">
        <f>HYPERLINK("#'Input - Fertiliser'!A1", "Fertiliser")</f>
        <v>Fertiliser</v>
      </c>
      <c r="D23" s="33" t="s">
        <v>902</v>
      </c>
      <c r="E23" s="13" t="s">
        <v>892</v>
      </c>
      <c r="F23" s="13" t="s">
        <v>901</v>
      </c>
      <c r="G23" s="13" t="s">
        <v>884</v>
      </c>
      <c r="H23" s="74">
        <v>50</v>
      </c>
      <c r="I23" s="13" t="s">
        <v>887</v>
      </c>
    </row>
    <row r="24" spans="1:11" ht="20.100000000000001" customHeight="1" x14ac:dyDescent="0.2">
      <c r="D24" s="33" t="s">
        <v>903</v>
      </c>
      <c r="E24" s="13" t="s">
        <v>892</v>
      </c>
      <c r="F24" s="13" t="s">
        <v>901</v>
      </c>
      <c r="G24" s="13" t="s">
        <v>886</v>
      </c>
      <c r="H24" s="74">
        <v>50</v>
      </c>
      <c r="I24" s="13" t="s">
        <v>19</v>
      </c>
    </row>
    <row r="25" spans="1:11" ht="20.100000000000001" customHeight="1" x14ac:dyDescent="0.2">
      <c r="D25" s="33" t="s">
        <v>904</v>
      </c>
      <c r="E25" s="13" t="s">
        <v>892</v>
      </c>
      <c r="F25" s="13" t="s">
        <v>901</v>
      </c>
      <c r="G25" s="13" t="s">
        <v>886</v>
      </c>
      <c r="H25" s="74">
        <v>50</v>
      </c>
      <c r="I25" s="13" t="s">
        <v>887</v>
      </c>
    </row>
    <row r="26" spans="1:11" ht="20.100000000000001" customHeight="1" x14ac:dyDescent="0.2">
      <c r="A26" s="6" t="s">
        <v>2</v>
      </c>
      <c r="D26" s="33" t="s">
        <v>905</v>
      </c>
      <c r="E26" s="13" t="s">
        <v>906</v>
      </c>
      <c r="F26" s="13" t="s">
        <v>883</v>
      </c>
      <c r="G26" s="13" t="s">
        <v>886</v>
      </c>
      <c r="H26" s="74">
        <v>50</v>
      </c>
      <c r="I26" s="13" t="s">
        <v>19</v>
      </c>
    </row>
    <row r="27" spans="1:11" ht="20.100000000000001" customHeight="1" x14ac:dyDescent="0.2">
      <c r="A27" s="5" t="str">
        <f>HYPERLINK("#'4.6.1.1-2 Methane'!A1", "4.6.1.1-2 Manure Methane")</f>
        <v>4.6.1.1-2 Manure Methane</v>
      </c>
      <c r="D27" s="33" t="s">
        <v>907</v>
      </c>
      <c r="E27" s="13" t="s">
        <v>906</v>
      </c>
      <c r="F27" s="13" t="s">
        <v>883</v>
      </c>
      <c r="G27" s="13" t="s">
        <v>886</v>
      </c>
      <c r="H27" s="74">
        <v>50</v>
      </c>
      <c r="I27" s="13" t="s">
        <v>887</v>
      </c>
    </row>
    <row r="28" spans="1:11" ht="20.100000000000001" customHeight="1" x14ac:dyDescent="0.2">
      <c r="A28" s="5" t="str">
        <f>HYPERLINK("#'4.6.1.3-4 Direct N20'!A1", "4.6.1.3-4 Manure Direct N2O")</f>
        <v>4.6.1.3-4 Manure Direct N2O</v>
      </c>
      <c r="D28" s="33" t="s">
        <v>908</v>
      </c>
      <c r="E28" s="13" t="s">
        <v>906</v>
      </c>
      <c r="F28" s="13" t="s">
        <v>901</v>
      </c>
      <c r="G28" s="13" t="s">
        <v>886</v>
      </c>
      <c r="H28" s="74">
        <v>50</v>
      </c>
      <c r="I28" s="13" t="s">
        <v>19</v>
      </c>
    </row>
    <row r="29" spans="1:11" ht="20.100000000000001" customHeight="1" x14ac:dyDescent="0.2">
      <c r="A29" s="5" t="str">
        <f>HYPERLINK("#'4.6.1.5-6 Atmos Dep'!A1", "4.6.1.5-6 Manure Atmos Dep")</f>
        <v>4.6.1.5-6 Manure Atmos Dep</v>
      </c>
      <c r="D29" s="33" t="s">
        <v>909</v>
      </c>
      <c r="E29" s="13" t="s">
        <v>906</v>
      </c>
      <c r="F29" s="13" t="s">
        <v>901</v>
      </c>
      <c r="G29" s="13" t="s">
        <v>886</v>
      </c>
      <c r="H29" s="74">
        <v>50</v>
      </c>
      <c r="I29" s="13" t="s">
        <v>887</v>
      </c>
      <c r="K29" s="140"/>
    </row>
    <row r="30" spans="1:11" ht="20.100000000000001" customHeight="1" x14ac:dyDescent="0.2">
      <c r="A30" s="5" t="str">
        <f>HYPERLINK("#'4.6.1.7-8 Leaching and runoff'!A1", "4.6.1.7-8 Manure Leaching and runoff")</f>
        <v>4.6.1.7-8 Manure Leaching and runoff</v>
      </c>
      <c r="D30" s="33" t="s">
        <v>910</v>
      </c>
      <c r="E30" s="13" t="s">
        <v>906</v>
      </c>
      <c r="F30" s="13" t="s">
        <v>901</v>
      </c>
      <c r="G30" s="13" t="s">
        <v>884</v>
      </c>
      <c r="H30" s="74">
        <v>50</v>
      </c>
      <c r="I30" s="13" t="s">
        <v>19</v>
      </c>
      <c r="K30" s="140"/>
    </row>
    <row r="31" spans="1:11" ht="20.100000000000001" customHeight="1" x14ac:dyDescent="0.2">
      <c r="A31" s="5" t="str">
        <f>HYPERLINK("#'4.6.1.9 Manure applied to soils'!A1", "4.6.1.9 Manure applied to soils")</f>
        <v>4.6.1.9 Manure applied to soils</v>
      </c>
      <c r="D31" s="33" t="s">
        <v>911</v>
      </c>
      <c r="E31" s="13" t="s">
        <v>906</v>
      </c>
      <c r="F31" s="13" t="s">
        <v>901</v>
      </c>
      <c r="G31" s="13" t="s">
        <v>884</v>
      </c>
      <c r="H31" s="74">
        <v>50</v>
      </c>
      <c r="I31" s="13" t="s">
        <v>887</v>
      </c>
      <c r="K31" s="140"/>
    </row>
    <row r="32" spans="1:11" ht="20.100000000000001" customHeight="1" x14ac:dyDescent="0.2">
      <c r="A32" s="5" t="str">
        <f>HYPERLINK("#'4.6.1.10-11 Soil direct N2O'!A1", "4.6.1.10-11 Soil direct N2O")</f>
        <v>4.6.1.10-11 Soil direct N2O</v>
      </c>
      <c r="D32" s="33" t="s">
        <v>909</v>
      </c>
      <c r="E32" s="13" t="s">
        <v>906</v>
      </c>
      <c r="F32" s="13" t="s">
        <v>901</v>
      </c>
      <c r="G32" s="13" t="s">
        <v>886</v>
      </c>
      <c r="H32" s="74">
        <v>50</v>
      </c>
      <c r="I32" s="13" t="s">
        <v>887</v>
      </c>
      <c r="K32" s="140"/>
    </row>
    <row r="33" spans="1:12" ht="20.100000000000001" customHeight="1" x14ac:dyDescent="0.2">
      <c r="A33" s="5" t="str">
        <f>HYPERLINK("#'4.6.1.12-13 Soil atmos dep'!A1", "4.6.1.12-13 Soil atmos dep")</f>
        <v>4.6.1.12-13 Soil atmos dep</v>
      </c>
      <c r="K33" s="140"/>
    </row>
    <row r="34" spans="1:12" ht="20.100000000000001" customHeight="1" x14ac:dyDescent="0.2">
      <c r="A34" s="5" t="str">
        <f>HYPERLINK("#'4.6.1.14-15 Soil leach runoff'!A1", "4.6.1.14-15 Soil leach runoff")</f>
        <v>4.6.1.14-15 Soil leach runoff</v>
      </c>
      <c r="K34" s="140"/>
    </row>
    <row r="35" spans="1:12" ht="20.100000000000001" customHeight="1" x14ac:dyDescent="0.2">
      <c r="A35" s="5" t="str">
        <f>HYPERLINK("#'8.1.1.1-2 Transport fuel'!A1", "8.1.1.1-2 Transport fuel")</f>
        <v>8.1.1.1-2 Transport fuel</v>
      </c>
    </row>
    <row r="36" spans="1:12" ht="20.100000000000001" customHeight="1" x14ac:dyDescent="0.2">
      <c r="A36" s="5" t="str">
        <f>HYPERLINK("#'8.2.1.1-2 Stationary fuel'!A1", "8.2.1.1-2 Stationary fuel")</f>
        <v>8.2.1.1-2 Stationary fuel</v>
      </c>
      <c r="L36" s="140"/>
    </row>
    <row r="37" spans="1:12" ht="20.100000000000001" customHeight="1" x14ac:dyDescent="0.2">
      <c r="A37" s="5" t="str">
        <f>HYPERLINK("#'10.1.1-2 Solid waste treatment'!A1", "10.1.1.1-2 Solid waste")</f>
        <v>10.1.1.1-2 Solid waste</v>
      </c>
      <c r="L37" s="140"/>
    </row>
    <row r="38" spans="1:12" ht="20.100000000000001" customHeight="1" x14ac:dyDescent="0.2">
      <c r="A38" s="5" t="str">
        <f>HYPERLINK("#'14.1.1-2 Purchased electricity'!A1", "14.1.1-2 Purchased electricity")</f>
        <v>14.1.1-2 Purchased electricity</v>
      </c>
      <c r="C38" s="142"/>
    </row>
    <row r="39" spans="1:12" ht="20.100000000000001" customHeight="1" x14ac:dyDescent="0.2">
      <c r="A39" s="5" t="str">
        <f>HYPERLINK("#'15 Scope 3'!A1", "15 Scope 3")</f>
        <v>15 Scope 3</v>
      </c>
      <c r="C39" s="142"/>
      <c r="J39" s="142"/>
    </row>
    <row r="40" spans="1:12" s="140" customFormat="1" ht="20.100000000000001" customHeight="1" x14ac:dyDescent="0.2">
      <c r="A40" s="5" t="str">
        <f>HYPERLINK("#'Calcs - Manure sent off-site'!A1", "Calcs - Manure sent off-site")</f>
        <v>Calcs - Manure sent off-site</v>
      </c>
      <c r="C40" s="1"/>
      <c r="D40" s="1"/>
      <c r="E40" s="1"/>
      <c r="F40" s="1"/>
      <c r="G40" s="1"/>
      <c r="H40" s="1"/>
      <c r="I40" s="1"/>
      <c r="J40" s="1"/>
    </row>
    <row r="41" spans="1:12" s="140" customFormat="1" ht="20.100000000000001" customHeight="1" x14ac:dyDescent="0.2">
      <c r="A41" s="5" t="str">
        <f>HYPERLINK("#'5.1.1.1-2 Inorganic fert N2O'!A1", "5.1.1.1-2 Inorganic fert N2O")</f>
        <v>5.1.1.1-2 Inorganic fert N2O</v>
      </c>
      <c r="C41" s="1"/>
      <c r="D41" s="1"/>
      <c r="E41" s="1"/>
      <c r="F41" s="1"/>
      <c r="G41" s="1"/>
      <c r="H41" s="1"/>
      <c r="I41" s="1"/>
      <c r="J41" s="1"/>
      <c r="L41" s="140" t="s">
        <v>313</v>
      </c>
    </row>
    <row r="42" spans="1:12" ht="20.100000000000001" customHeight="1" x14ac:dyDescent="0.2">
      <c r="A42" s="5" t="str">
        <f>HYPERLINK("#'5.1.1.3-4 Inorganic fert CO2'!A1", "5.1.1.3-4 Inorganic fert CO2")</f>
        <v>5.1.1.3-4 Inorganic fert CO2</v>
      </c>
    </row>
    <row r="43" spans="1:12" ht="20.100000000000001" customHeight="1" x14ac:dyDescent="0.2">
      <c r="A43" s="5" t="str">
        <f>HYPERLINK("#'5.2.1.1-2 Organic Fert N2O'!A1", "5.2.1.1-2 Organic Fert N2O")</f>
        <v>5.2.1.1-2 Organic Fert N2O</v>
      </c>
    </row>
    <row r="44" spans="1:12" ht="20.100000000000001" customHeight="1" x14ac:dyDescent="0.2">
      <c r="A44" s="5" t="str">
        <f>HYPERLINK("#'5.3.1.1-2 Lime CO2'!A1", "5.3.1.1-2 Lime CO2")</f>
        <v>5.3.1.1-2 Lime CO2</v>
      </c>
    </row>
    <row r="45" spans="1:12" ht="20.100000000000001" customHeight="1" x14ac:dyDescent="0.2">
      <c r="A45" s="5" t="str">
        <f>HYPERLINK("#'5.4.1.1-4 Atmos deposition'!A1", "5.4.1.1-4 Atmos deposition")</f>
        <v>5.4.1.1-4 Atmos deposition</v>
      </c>
    </row>
    <row r="46" spans="1:12"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row r="73" spans="4:4" ht="20.100000000000001" customHeight="1" x14ac:dyDescent="0.2">
      <c r="D73" s="145"/>
    </row>
    <row r="75" spans="4:4" ht="20.100000000000001" customHeight="1" x14ac:dyDescent="0.2">
      <c r="D75" s="145"/>
    </row>
    <row r="76" spans="4:4" ht="20.100000000000001" customHeight="1" x14ac:dyDescent="0.2">
      <c r="D76" s="145"/>
    </row>
    <row r="385" spans="4:4" ht="20.100000000000001" customHeight="1" x14ac:dyDescent="0.2">
      <c r="D385" s="87"/>
    </row>
  </sheetData>
  <conditionalFormatting sqref="F162:F163">
    <cfRule type="cellIs" dxfId="43" priority="7" operator="lessThan">
      <formula>0</formula>
    </cfRule>
  </conditionalFormatting>
  <conditionalFormatting sqref="F174:F175">
    <cfRule type="cellIs" dxfId="42" priority="6" operator="lessThan">
      <formula>0</formula>
    </cfRule>
  </conditionalFormatting>
  <conditionalFormatting sqref="F186:F187">
    <cfRule type="cellIs" dxfId="41" priority="5" operator="lessThan">
      <formula>0</formula>
    </cfRule>
  </conditionalFormatting>
  <conditionalFormatting sqref="F274:F275">
    <cfRule type="cellIs" dxfId="40" priority="17" operator="lessThan">
      <formula>0</formula>
    </cfRule>
  </conditionalFormatting>
  <conditionalFormatting sqref="F279:F280">
    <cfRule type="cellIs" dxfId="39" priority="16" operator="lessThan">
      <formula>0</formula>
    </cfRule>
  </conditionalFormatting>
  <conditionalFormatting sqref="F284:F285">
    <cfRule type="cellIs" dxfId="38" priority="15" operator="lessThan">
      <formula>0</formula>
    </cfRule>
  </conditionalFormatting>
  <conditionalFormatting sqref="F308:F309">
    <cfRule type="cellIs" dxfId="37" priority="14" operator="lessThan">
      <formula>0</formula>
    </cfRule>
  </conditionalFormatting>
  <conditionalFormatting sqref="F313:F314">
    <cfRule type="cellIs" dxfId="36" priority="13" operator="lessThan">
      <formula>0</formula>
    </cfRule>
  </conditionalFormatting>
  <conditionalFormatting sqref="F318:F319">
    <cfRule type="cellIs" dxfId="35" priority="12" operator="lessThan">
      <formula>0</formula>
    </cfRule>
  </conditionalFormatting>
  <conditionalFormatting sqref="I33 F71">
    <cfRule type="cellIs" dxfId="34" priority="9" operator="lessThan">
      <formula>0</formula>
    </cfRule>
  </conditionalFormatting>
  <conditionalFormatting sqref="I79:I83">
    <cfRule type="cellIs" dxfId="33" priority="4" operator="lessThan">
      <formula>0</formula>
    </cfRule>
  </conditionalFormatting>
  <conditionalFormatting sqref="I87 I146">
    <cfRule type="cellIs" dxfId="32" priority="10" operator="lessThan">
      <formula>0</formula>
    </cfRule>
  </conditionalFormatting>
  <conditionalFormatting sqref="I98:I100">
    <cfRule type="cellIs" dxfId="31" priority="3" operator="lessThan">
      <formula>0</formula>
    </cfRule>
  </conditionalFormatting>
  <conditionalFormatting sqref="I104:I107">
    <cfRule type="cellIs" dxfId="30" priority="2" operator="lessThan">
      <formula>0</formula>
    </cfRule>
  </conditionalFormatting>
  <conditionalFormatting sqref="I111:I115">
    <cfRule type="cellIs" dxfId="29" priority="1" operator="lessThan">
      <formula>0</formula>
    </cfRule>
  </conditionalFormatting>
  <conditionalFormatting sqref="J8 I65:I66 H67:H69 I68 I70:I72 I74:I75 I226 I232 E234:G234">
    <cfRule type="cellIs" dxfId="28" priority="11" operator="lessThan">
      <formula>0</formula>
    </cfRule>
  </conditionalFormatting>
  <conditionalFormatting sqref="J37 I59 F150:F151">
    <cfRule type="cellIs" dxfId="27" priority="8" operator="lessThan">
      <formula>0</formula>
    </cfRule>
  </conditionalFormatting>
  <dataValidations count="9">
    <dataValidation type="list" allowBlank="1" showInputMessage="1" showErrorMessage="1" sqref="F10:F32" xr:uid="{AED1127A-3C19-4DE0-9260-497C55CA79C1}">
      <formula1>INDIRECT("Table_WasteTypes_" &amp; SUBSTITUTE(E10, " ", "") &amp; "[Waste type w]")</formula1>
    </dataValidation>
    <dataValidation type="list" allowBlank="1" showInputMessage="1" showErrorMessage="1" sqref="I10:I32" xr:uid="{FC9EB3B2-A855-4B2E-914B-528D2C606426}">
      <formula1>"tonnes, cubic metres m3"</formula1>
    </dataValidation>
    <dataValidation type="list" allowBlank="1" showInputMessage="1" showErrorMessage="1" sqref="G10:G32" xr:uid="{2260FE03-E244-4C86-91A9-1EA7B7D9F63D}">
      <formula1>"Treated on-site, Removed and treated off-site"</formula1>
    </dataValidation>
    <dataValidation type="list" allowBlank="1" showInputMessage="1" showErrorMessage="1" sqref="E10:E32" xr:uid="{4B7F5E70-9B02-479D-BDE4-2F0001911BDD}">
      <formula1>INDIRECT(_xlfn.UNIQUE("Table_SourceData_WasteSolid_WasteTreatmentEFs[Treatment type t]"))</formula1>
    </dataValidation>
    <dataValidation type="list" allowBlank="1" showInputMessage="1" showErrorMessage="1" sqref="E35" xr:uid="{0556A8AC-C4BD-4107-ADE5-247B341D5C4F}">
      <formula1>INDIRECT("Table_SourceData_ElectricityEFs[State, Territory or grid description]")</formula1>
    </dataValidation>
    <dataValidation type="list" allowBlank="1" showInputMessage="1" showErrorMessage="1" sqref="E89" xr:uid="{2F47026C-CA39-4159-A0AB-323D61CBD52D}">
      <formula1>INDIRECT("Table_SourceData_Swine_IrrigationMethods[Irrigation method]")</formula1>
    </dataValidation>
    <dataValidation type="list" allowBlank="1" showInputMessage="1" showErrorMessage="1" sqref="E273 E278 E283 E317 E312 E307 E185 E173 E149 E161" xr:uid="{BF1330AF-412C-43B5-B67B-074285FE243A}">
      <formula1>"Yes, No"</formula1>
    </dataValidation>
    <dataValidation type="list" allowBlank="1" showInputMessage="1" showErrorMessage="1" sqref="E249" xr:uid="{50B788BD-0AF1-4F62-A4CF-23947F8CE605}">
      <formula1>INDIRECT("Table_SourceData_Dairy_ProductionSystemTemplates[Area]")</formula1>
    </dataValidation>
    <dataValidation type="list" allowBlank="1" showInputMessage="1" showErrorMessage="1" sqref="D301" xr:uid="{49466651-DBD0-4567-9A9B-477EC2716C68}">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B954-58D8-4B2D-A396-636FD0F1A87C}">
  <sheetPr>
    <tabColor theme="5" tint="-0.249977111117893"/>
  </sheetPr>
  <dimension ref="A1:K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1024</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1025</v>
      </c>
    </row>
    <row r="7" spans="1:11" ht="20.100000000000001" customHeight="1" x14ac:dyDescent="0.2">
      <c r="D7" s="1" t="s">
        <v>1026</v>
      </c>
    </row>
    <row r="8" spans="1:11" ht="20.100000000000001" customHeight="1" x14ac:dyDescent="0.2">
      <c r="A8" s="7" t="s">
        <v>0</v>
      </c>
      <c r="D8" s="1" t="s">
        <v>1027</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1028</v>
      </c>
      <c r="F10" s="74">
        <v>1000</v>
      </c>
      <c r="G10" s="16" t="s">
        <v>483</v>
      </c>
    </row>
    <row r="11" spans="1:11" ht="20.100000000000001" customHeight="1" x14ac:dyDescent="0.2">
      <c r="A11" s="5" t="str">
        <f>HYPERLINK("#'Input - Poultry'!A1", "Poultry")</f>
        <v>Poultry</v>
      </c>
      <c r="D11" s="1" t="s">
        <v>1029</v>
      </c>
      <c r="F11" s="74">
        <v>2000</v>
      </c>
      <c r="G11" s="16" t="s">
        <v>483</v>
      </c>
    </row>
    <row r="12" spans="1:11" ht="20.100000000000001" customHeight="1" x14ac:dyDescent="0.2">
      <c r="A12" s="5" t="str">
        <f>HYPERLINK("#'Input - Livestock sales'!A1", "Livestock sales")</f>
        <v>Livestock sales</v>
      </c>
    </row>
    <row r="13" spans="1:11" ht="20.100000000000001" customHeight="1" x14ac:dyDescent="0.2">
      <c r="A13" s="5" t="str">
        <f>HYPERLINK("#'Input - Poultry purchases'!A1", "Poultry purchases")</f>
        <v>Poultry purchases</v>
      </c>
      <c r="D13" s="1" t="s">
        <v>1030</v>
      </c>
      <c r="F13" s="13" t="s">
        <v>325</v>
      </c>
      <c r="G13" s="16" t="s">
        <v>100</v>
      </c>
    </row>
    <row r="14" spans="1:11" ht="20.100000000000001" customHeight="1" x14ac:dyDescent="0.2">
      <c r="A14" s="5" t="str">
        <f>HYPERLINK("#'Input - Fuel'!A1", "Fuel")</f>
        <v>Fuel</v>
      </c>
      <c r="D14" s="1" t="s">
        <v>1031</v>
      </c>
      <c r="F14" s="13" t="s">
        <v>326</v>
      </c>
      <c r="G14" s="16" t="s">
        <v>100</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100"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2">
    <dataValidation type="list" allowBlank="1" showInputMessage="1" showErrorMessage="1" sqref="F14" xr:uid="{F64169D0-EB21-406F-97E0-561007712CF5}">
      <formula1>INDIRECT("Table_SourceData_Fertiliser_IrrigationMethods[Irrigation method]")</formula1>
    </dataValidation>
    <dataValidation type="list" allowBlank="1" showInputMessage="1" showErrorMessage="1" sqref="F13" xr:uid="{0DFC7F6C-0417-43F9-A02B-6C00977FA618}">
      <formula1>INDIRECT("Table_SourceData_Fertiliser_CropProdSystems[Production system]")</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147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219</v>
      </c>
    </row>
    <row r="7" spans="1:13" ht="20.100000000000001" customHeight="1" x14ac:dyDescent="0.2">
      <c r="D7" s="78" t="s">
        <v>220</v>
      </c>
      <c r="E7" s="78" t="s">
        <v>221</v>
      </c>
      <c r="F7" s="78" t="s">
        <v>222</v>
      </c>
      <c r="G7" s="78" t="s">
        <v>223</v>
      </c>
      <c r="H7" s="78" t="s">
        <v>148</v>
      </c>
      <c r="I7" s="78" t="s">
        <v>149</v>
      </c>
      <c r="J7" s="78" t="s">
        <v>150</v>
      </c>
    </row>
    <row r="8" spans="1:13" ht="20.100000000000001" customHeight="1" x14ac:dyDescent="0.2">
      <c r="A8" s="7" t="s">
        <v>0</v>
      </c>
      <c r="D8" s="1" t="str">
        <f>"Birds sold"</f>
        <v>Birds sold</v>
      </c>
      <c r="E8" s="13" t="s">
        <v>199</v>
      </c>
      <c r="F8" s="13" t="s">
        <v>204</v>
      </c>
      <c r="G8" s="13" t="s">
        <v>209</v>
      </c>
      <c r="H8" s="82"/>
      <c r="I8" s="82"/>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"Eggs sold"</f>
        <v>Eggs sold</v>
      </c>
      <c r="E9" s="13"/>
      <c r="F9" s="13"/>
      <c r="G9" s="13"/>
      <c r="H9" s="82"/>
      <c r="I9" s="82"/>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ht="20.100000000000001" customHeight="1" x14ac:dyDescent="0.2">
      <c r="A10" s="5" t="str">
        <f>HYPERLINK("#'Input - Site'!A1", "Site")</f>
        <v>Site</v>
      </c>
      <c r="D10" s="1" t="str">
        <f>"Manure produced"</f>
        <v>Manure produced</v>
      </c>
      <c r="E10" s="13" t="s">
        <v>200</v>
      </c>
      <c r="F10" s="13" t="s">
        <v>205</v>
      </c>
      <c r="G10" s="13" t="s">
        <v>210</v>
      </c>
      <c r="H10" s="82"/>
      <c r="I10" s="82"/>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1" spans="1:13" ht="20.100000000000001" customHeight="1" x14ac:dyDescent="0.2">
      <c r="A11" s="5" t="str">
        <f>HYPERLINK("#'Input - Poultry'!A1", "Poultry")</f>
        <v>Poultry</v>
      </c>
      <c r="D11" s="1" t="str">
        <f>"Manure sold"</f>
        <v>Manure sold</v>
      </c>
      <c r="E11" s="13" t="s">
        <v>201</v>
      </c>
      <c r="F11" s="13" t="s">
        <v>206</v>
      </c>
      <c r="G11" s="13" t="s">
        <v>210</v>
      </c>
      <c r="H11" s="82"/>
      <c r="I11" s="82"/>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2" spans="1:13" ht="20.100000000000001" customHeight="1" x14ac:dyDescent="0.2">
      <c r="A12" s="5" t="str">
        <f>HYPERLINK("#'Input - Livestock sales'!A1", "Livestock sales")</f>
        <v>Livestock sales</v>
      </c>
      <c r="D12" s="1" t="str">
        <f>"Percent income from birds sold"</f>
        <v>Percent income from birds sold</v>
      </c>
      <c r="E12" s="13" t="s">
        <v>203</v>
      </c>
      <c r="F12" s="13" t="s">
        <v>208</v>
      </c>
      <c r="G12" s="13" t="s">
        <v>213</v>
      </c>
      <c r="H12" s="82"/>
      <c r="I12" s="82"/>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1:13" ht="20.100000000000001" customHeight="1" x14ac:dyDescent="0.2">
      <c r="A13" s="5" t="str">
        <f>HYPERLINK("#'Input - Poultry purchases'!A1", "Poultry purchases")</f>
        <v>Poultry purchases</v>
      </c>
      <c r="D13" s="1" t="str">
        <f>"Percent income from eggs sold"</f>
        <v>Percent income from eggs sold</v>
      </c>
      <c r="E13" s="13"/>
      <c r="F13" s="13"/>
      <c r="G13" s="13"/>
      <c r="H13" s="82"/>
      <c r="I13" s="82"/>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ht="20.100000000000001" customHeight="1" x14ac:dyDescent="0.2">
      <c r="A14" s="5" t="str">
        <f>HYPERLINK("#'Input - Fuel'!A1", "Fuel")</f>
        <v>Fuel</v>
      </c>
      <c r="D14" s="1" t="str">
        <f>"Percent income from manure sold"</f>
        <v>Percent income from manure sold</v>
      </c>
      <c r="E14" s="13" t="s">
        <v>199</v>
      </c>
      <c r="F14" s="13" t="s">
        <v>205</v>
      </c>
      <c r="G14" s="13" t="s">
        <v>209</v>
      </c>
      <c r="H14" s="82"/>
      <c r="I14" s="82"/>
      <c r="J14"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1:13" ht="20.100000000000001" customHeight="1" x14ac:dyDescent="0.2">
      <c r="A15" s="5" t="str">
        <f>HYPERLINK("#'Input - Electricity'!A1", "Electricity")</f>
        <v>Electricity</v>
      </c>
    </row>
    <row r="16" spans="1:13" ht="20.100000000000001" customHeight="1" x14ac:dyDescent="0.2">
      <c r="A16" s="5" t="str">
        <f>HYPERLINK("#'Input - Common farm inputs'!A1", "Common farm inputs")</f>
        <v>Common farm inputs</v>
      </c>
      <c r="J16" s="83">
        <f>SUM(Table_Input_DataQuality_Enterprise[Score])</f>
        <v>54</v>
      </c>
    </row>
    <row r="17" spans="1:10" ht="20.100000000000001" customHeight="1" x14ac:dyDescent="0.2">
      <c r="A17" s="5" t="str">
        <f>HYPERLINK("#'Input - Livestock farm Inputs'!A1", "Livestock farm Inputs")</f>
        <v>Livestock farm Inputs</v>
      </c>
      <c r="D17" s="2" t="s">
        <v>224</v>
      </c>
    </row>
    <row r="18" spans="1:10" ht="20.100000000000001" customHeight="1" x14ac:dyDescent="0.2">
      <c r="A18" s="5" t="str">
        <f>HYPERLINK("#'Input - Freight'!A1", "Freight")</f>
        <v>Freight</v>
      </c>
    </row>
    <row r="19" spans="1:10" ht="20.100000000000001" customHeight="1" x14ac:dyDescent="0.2">
      <c r="A19" s="5" t="str">
        <f>HYPERLINK("#'Input - Solid waste'!A1", "Solid waste")</f>
        <v>Solid waste</v>
      </c>
      <c r="D19" s="78" t="s">
        <v>220</v>
      </c>
      <c r="E19" s="78" t="s">
        <v>221</v>
      </c>
      <c r="F19" s="78" t="s">
        <v>222</v>
      </c>
      <c r="G19" s="78" t="s">
        <v>223</v>
      </c>
      <c r="H19" s="78" t="s">
        <v>148</v>
      </c>
      <c r="I19" s="78" t="s">
        <v>149</v>
      </c>
      <c r="J19" s="78" t="s">
        <v>150</v>
      </c>
    </row>
    <row r="20" spans="1:10" ht="20.100000000000001" customHeight="1" x14ac:dyDescent="0.2">
      <c r="A20" s="5" t="str">
        <f>HYPERLINK("#'Input - Manure sent off-site'!A1", "Manure sent off-site")</f>
        <v>Manure sent off-site</v>
      </c>
      <c r="D20" s="1" t="str">
        <f>"Leaching zone"</f>
        <v>Leaching zone</v>
      </c>
      <c r="E20" s="13" t="s">
        <v>200</v>
      </c>
      <c r="F20" s="13" t="s">
        <v>206</v>
      </c>
      <c r="G20" s="13" t="s">
        <v>209</v>
      </c>
      <c r="H20" s="82"/>
      <c r="I20" s="82"/>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A21" s="100" t="str">
        <f>HYPERLINK("#'Input - Data quality'!A1", "Data quality")</f>
        <v>Data quality</v>
      </c>
      <c r="D21" s="1" t="str">
        <f>"Elevation"</f>
        <v>Elevation</v>
      </c>
      <c r="E21" s="13" t="s">
        <v>200</v>
      </c>
      <c r="F21" s="13" t="s">
        <v>206</v>
      </c>
      <c r="G21" s="13" t="s">
        <v>209</v>
      </c>
      <c r="H21" s="82"/>
      <c r="I21" s="82"/>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ht="20.100000000000001" customHeight="1" x14ac:dyDescent="0.2">
      <c r="A22" s="5" t="str">
        <f>HYPERLINK("#'Input - Fert Prod System'!A1", "Fert Prod System")</f>
        <v>Fert Prod System</v>
      </c>
      <c r="D22" s="1" t="str">
        <f>"Average temperature for reporting period"</f>
        <v>Average temperature for reporting period</v>
      </c>
      <c r="E22" s="13" t="s">
        <v>200</v>
      </c>
      <c r="F22" s="13" t="s">
        <v>206</v>
      </c>
      <c r="G22" s="13" t="s">
        <v>209</v>
      </c>
      <c r="H22" s="82"/>
      <c r="I22" s="82"/>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5" t="str">
        <f>HYPERLINK("#'Input - Fertiliser'!A1", "Fertiliser")</f>
        <v>Fertiliser</v>
      </c>
      <c r="D23" s="1" t="str">
        <f>"Total rainfall for reporting period"</f>
        <v>Total rainfall for reporting period</v>
      </c>
      <c r="E23" s="13" t="s">
        <v>199</v>
      </c>
      <c r="F23" s="13" t="s">
        <v>205</v>
      </c>
      <c r="G23" s="13" t="s">
        <v>209</v>
      </c>
      <c r="H23" s="82"/>
      <c r="I23" s="82"/>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1:10" ht="20.100000000000001" customHeight="1" x14ac:dyDescent="0.2">
      <c r="D24" s="1" t="str">
        <f>"Potential evapotranspiration for reporting period"</f>
        <v>Potential evapotranspiration for reporting period</v>
      </c>
      <c r="E24" s="13" t="s">
        <v>200</v>
      </c>
      <c r="F24" s="13" t="s">
        <v>206</v>
      </c>
      <c r="G24" s="13" t="s">
        <v>209</v>
      </c>
      <c r="H24" s="82"/>
      <c r="I24" s="82"/>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1:10" ht="20.100000000000001" customHeight="1" x14ac:dyDescent="0.2">
      <c r="D25" s="1" t="str">
        <f>"Number of frost days for reporting period"</f>
        <v>Number of frost days for reporting period</v>
      </c>
      <c r="E25" s="84" t="s">
        <v>201</v>
      </c>
      <c r="F25" s="84" t="s">
        <v>206</v>
      </c>
      <c r="G25" s="84" t="s">
        <v>209</v>
      </c>
      <c r="H25" s="82"/>
      <c r="I25" s="82"/>
      <c r="J25"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1:10" ht="20.100000000000001" customHeight="1" x14ac:dyDescent="0.2">
      <c r="A26" s="6" t="s">
        <v>2</v>
      </c>
    </row>
    <row r="27" spans="1:10" ht="20.100000000000001" customHeight="1" x14ac:dyDescent="0.2">
      <c r="A27" s="5" t="str">
        <f>HYPERLINK("#'4.6.1.1-2 Methane'!A1", "4.6.1.1-2 Manure Methane")</f>
        <v>4.6.1.1-2 Manure Methane</v>
      </c>
      <c r="J27" s="83">
        <f>SUM(Table_Input_DataQuality_Site[Score])</f>
        <v>73</v>
      </c>
    </row>
    <row r="28" spans="1:10" ht="20.100000000000001" customHeight="1" x14ac:dyDescent="0.2">
      <c r="A28" s="5" t="str">
        <f>HYPERLINK("#'4.6.1.3-4 Direct N20'!A1", "4.6.1.3-4 Manure Direct N2O")</f>
        <v>4.6.1.3-4 Manure Direct N2O</v>
      </c>
      <c r="D28" s="2" t="s">
        <v>278</v>
      </c>
    </row>
    <row r="29" spans="1:10" ht="20.100000000000001" customHeight="1" x14ac:dyDescent="0.2">
      <c r="A29" s="5" t="str">
        <f>HYPERLINK("#'4.6.1.5-6 Atmos Dep'!A1", "4.6.1.5-6 Manure Atmos Dep")</f>
        <v>4.6.1.5-6 Manure Atmos Dep</v>
      </c>
    </row>
    <row r="30" spans="1:10" ht="20.100000000000001" customHeight="1" x14ac:dyDescent="0.2">
      <c r="A30" s="5" t="str">
        <f>HYPERLINK("#'4.6.1.7-8 Leaching and runoff'!A1", "4.6.1.7-8 Manure Leaching and runoff")</f>
        <v>4.6.1.7-8 Manure Leaching and runoff</v>
      </c>
      <c r="D30" s="78" t="s">
        <v>220</v>
      </c>
      <c r="E30" s="78" t="s">
        <v>221</v>
      </c>
      <c r="F30" s="78" t="s">
        <v>222</v>
      </c>
      <c r="G30" s="78" t="s">
        <v>223</v>
      </c>
      <c r="H30" s="78" t="s">
        <v>148</v>
      </c>
      <c r="I30" s="78" t="s">
        <v>149</v>
      </c>
      <c r="J30" s="78" t="s">
        <v>150</v>
      </c>
    </row>
    <row r="31" spans="1:10" ht="20.100000000000001" customHeight="1" x14ac:dyDescent="0.2">
      <c r="A31" s="5" t="str">
        <f>HYPERLINK("#'4.6.1.9 Manure applied to soils'!A1", "4.6.1.9 Manure applied to soils")</f>
        <v>4.6.1.9 Manure applied to soils</v>
      </c>
      <c r="D31" s="1" t="str">
        <f>"Head count"</f>
        <v>Head count</v>
      </c>
      <c r="E31" s="13" t="s">
        <v>199</v>
      </c>
      <c r="F31" s="13" t="s">
        <v>205</v>
      </c>
      <c r="G31" s="13" t="s">
        <v>209</v>
      </c>
      <c r="H31" s="82"/>
      <c r="I31" s="82"/>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HYPERLINK("#'4.6.1.10-11 Soil direct N2O'!A1", "4.6.1.10-11 Soil direct N2O")</f>
        <v>4.6.1.10-11 Soil direct N2O</v>
      </c>
      <c r="D32" s="1" t="str">
        <f>"Duration of stay"</f>
        <v>Duration of stay</v>
      </c>
      <c r="E32" s="13"/>
      <c r="F32" s="13"/>
      <c r="G32" s="13"/>
      <c r="H32" s="82"/>
      <c r="I32" s="82"/>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3" spans="1:10" ht="20.100000000000001" customHeight="1" x14ac:dyDescent="0.2">
      <c r="A33" s="5" t="str">
        <f>HYPERLINK("#'4.6.1.12-13 Soil atmos dep'!A1", "4.6.1.12-13 Soil atmos dep")</f>
        <v>4.6.1.12-13 Soil atmos dep</v>
      </c>
      <c r="D33" s="1" t="str">
        <f>"Diet - Dry matter intake"</f>
        <v>Diet - Dry matter intake</v>
      </c>
      <c r="E33" s="13" t="s">
        <v>199</v>
      </c>
      <c r="F33" s="13" t="s">
        <v>205</v>
      </c>
      <c r="G33" s="13" t="s">
        <v>209</v>
      </c>
      <c r="H33" s="82"/>
      <c r="I33" s="82"/>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ht="20.100000000000001" customHeight="1" x14ac:dyDescent="0.2">
      <c r="A34" s="5" t="str">
        <f>HYPERLINK("#'4.6.1.14-15 Soil leach runoff'!A1", "4.6.1.14-15 Soil leach runoff")</f>
        <v>4.6.1.14-15 Soil leach runoff</v>
      </c>
      <c r="D34" s="1" t="str">
        <f>"Diet - Dry matter digestibility"</f>
        <v>Diet - Dry matter digestibility</v>
      </c>
      <c r="E34" s="13" t="s">
        <v>199</v>
      </c>
      <c r="F34" s="13" t="s">
        <v>205</v>
      </c>
      <c r="G34" s="13" t="s">
        <v>209</v>
      </c>
      <c r="H34" s="82"/>
      <c r="I34" s="82"/>
      <c r="J34"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1:10" ht="20.100000000000001" customHeight="1" x14ac:dyDescent="0.2">
      <c r="A35" s="5" t="str">
        <f>HYPERLINK("#'8.1.1.1-2 Transport fuel'!A1", "8.1.1.1-2 Transport fuel")</f>
        <v>8.1.1.1-2 Transport fuel</v>
      </c>
      <c r="D35" s="1" t="str">
        <f>"Diet - Crude protein"</f>
        <v>Diet - Crude protein</v>
      </c>
      <c r="E35" s="13"/>
      <c r="F35" s="13"/>
      <c r="G35" s="13"/>
      <c r="H35" s="82"/>
      <c r="I35" s="82"/>
      <c r="J35"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1:10" ht="20.100000000000001" customHeight="1" x14ac:dyDescent="0.2">
      <c r="A36" s="5" t="str">
        <f>HYPERLINK("#'8.2.1.1-2 Stationary fuel'!A1", "8.2.1.1-2 Stationary fuel")</f>
        <v>8.2.1.1-2 Stationary fuel</v>
      </c>
      <c r="D36" s="1" t="str">
        <f>"Production and manure management systems"</f>
        <v>Production and manure management systems</v>
      </c>
      <c r="E36" s="13" t="s">
        <v>199</v>
      </c>
      <c r="F36" s="13" t="s">
        <v>205</v>
      </c>
      <c r="G36" s="13" t="s">
        <v>209</v>
      </c>
      <c r="H36" s="82"/>
      <c r="I36" s="82"/>
      <c r="J36"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7" spans="1:10" ht="20.100000000000001" customHeight="1" x14ac:dyDescent="0.2">
      <c r="A37" s="5" t="str">
        <f>HYPERLINK("#'10.1.1-2 Solid waste treatment'!A1", "10.1.1.1-2 Solid waste")</f>
        <v>10.1.1.1-2 Solid waste</v>
      </c>
      <c r="D37" s="1" t="str">
        <f>"Bird sales"</f>
        <v>Bird sales</v>
      </c>
      <c r="E37" s="13"/>
      <c r="F37" s="13"/>
      <c r="G37" s="13"/>
      <c r="H37" s="82"/>
      <c r="I37" s="82"/>
      <c r="J3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8" spans="1:10" ht="20.100000000000001" customHeight="1" x14ac:dyDescent="0.2">
      <c r="A38" s="5" t="str">
        <f>HYPERLINK("#'14.1.1-2 Purchased electricity'!A1", "14.1.1-2 Purchased electricity")</f>
        <v>14.1.1-2 Purchased electricity</v>
      </c>
      <c r="D38" s="1" t="str">
        <f>"Bird purchases"</f>
        <v>Bird purchases</v>
      </c>
      <c r="E38" s="13"/>
      <c r="F38" s="13"/>
      <c r="G38" s="13"/>
      <c r="H38" s="82"/>
      <c r="I38" s="82"/>
      <c r="J3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9" spans="1:10" ht="20.100000000000001" customHeight="1" x14ac:dyDescent="0.2">
      <c r="A39" s="5" t="str">
        <f>HYPERLINK("#'15 Scope 3'!A1", "15 Scope 3")</f>
        <v>15 Scope 3</v>
      </c>
    </row>
    <row r="40" spans="1:10" ht="20.100000000000001" customHeight="1" x14ac:dyDescent="0.2">
      <c r="A40" s="5" t="str">
        <f>HYPERLINK("#'Calcs - Manure sent off-site'!A1", "Calcs - Manure sent off-site")</f>
        <v>Calcs - Manure sent off-site</v>
      </c>
      <c r="J40" s="83">
        <f>SUM(Table_Input_DataQuality_PastureManagement[Score])</f>
        <v>56</v>
      </c>
    </row>
    <row r="41" spans="1:10" ht="20.100000000000001" customHeight="1" x14ac:dyDescent="0.2">
      <c r="A41" s="5" t="str">
        <f>HYPERLINK("#'5.1.1.1-2 Inorganic fert N2O'!A1", "5.1.1.1-2 Inorganic fert N2O")</f>
        <v>5.1.1.1-2 Inorganic fert N2O</v>
      </c>
    </row>
    <row r="42" spans="1:10" ht="20.100000000000001" customHeight="1" x14ac:dyDescent="0.2">
      <c r="A42" s="5" t="str">
        <f>HYPERLINK("#'5.1.1.3-4 Inorganic fert CO2'!A1", "5.1.1.3-4 Inorganic fert CO2")</f>
        <v>5.1.1.3-4 Inorganic fert CO2</v>
      </c>
      <c r="D42" s="2" t="s">
        <v>225</v>
      </c>
    </row>
    <row r="43" spans="1:10" ht="20.100000000000001" customHeight="1" x14ac:dyDescent="0.2">
      <c r="A43" s="5" t="str">
        <f>HYPERLINK("#'5.2.1.1-2 Organic Fert N2O'!A1", "5.2.1.1-2 Organic Fert N2O")</f>
        <v>5.2.1.1-2 Organic Fert N2O</v>
      </c>
    </row>
    <row r="44" spans="1:10" ht="20.100000000000001" customHeight="1" x14ac:dyDescent="0.2">
      <c r="A44" s="5" t="str">
        <f>HYPERLINK("#'5.3.1.1-2 Lime CO2'!A1", "5.3.1.1-2 Lime CO2")</f>
        <v>5.3.1.1-2 Lime CO2</v>
      </c>
      <c r="D44" s="78" t="s">
        <v>220</v>
      </c>
      <c r="E44" s="78" t="s">
        <v>221</v>
      </c>
      <c r="F44" s="78" t="s">
        <v>222</v>
      </c>
      <c r="G44" s="78" t="s">
        <v>223</v>
      </c>
      <c r="H44" s="78" t="s">
        <v>148</v>
      </c>
      <c r="I44" s="78" t="s">
        <v>149</v>
      </c>
      <c r="J44" s="78" t="s">
        <v>150</v>
      </c>
    </row>
    <row r="45" spans="1:10" ht="20.100000000000001" customHeight="1" x14ac:dyDescent="0.2">
      <c r="A45" s="5" t="str">
        <f>HYPERLINK("#'5.4.1.1-4 Atmos deposition'!A1", "5.4.1.1-4 Atmos deposition")</f>
        <v>5.4.1.1-4 Atmos deposition</v>
      </c>
      <c r="D45" s="1" t="str">
        <f>"Fuel purchases"</f>
        <v>Fuel purchases</v>
      </c>
      <c r="E45" s="13" t="s">
        <v>199</v>
      </c>
      <c r="F45" s="13" t="s">
        <v>205</v>
      </c>
      <c r="G45" s="13" t="s">
        <v>210</v>
      </c>
      <c r="H45" s="82"/>
      <c r="I45" s="82"/>
      <c r="J45"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6" spans="1:10" ht="20.100000000000001" customHeight="1" x14ac:dyDescent="0.2">
      <c r="A46" s="5" t="str">
        <f>HYPERLINK("#'5.5.1.1-2 Leaching and runoff'!A1", "5.5.1.1-2 Leaching and runoff")</f>
        <v>5.5.1.1-2 Leaching and runoff</v>
      </c>
      <c r="D46" s="1" t="str">
        <f>"Fuel consumption"</f>
        <v>Fuel consumption</v>
      </c>
      <c r="E46" s="13" t="s">
        <v>199</v>
      </c>
      <c r="F46" s="13" t="s">
        <v>205</v>
      </c>
      <c r="G46" s="13" t="s">
        <v>209</v>
      </c>
      <c r="H46" s="82"/>
      <c r="I46" s="82"/>
      <c r="J4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7" spans="1:10" ht="20.100000000000001" customHeight="1" x14ac:dyDescent="0.2">
      <c r="D47" s="1" t="str">
        <f>"Electricity consumption"</f>
        <v>Electricity consumption</v>
      </c>
      <c r="E47" s="13" t="s">
        <v>199</v>
      </c>
      <c r="F47" s="13" t="s">
        <v>205</v>
      </c>
      <c r="G47" s="13" t="s">
        <v>209</v>
      </c>
      <c r="H47" s="82"/>
      <c r="I47" s="82"/>
      <c r="J4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8" spans="1:10" ht="20.100000000000001" customHeight="1" x14ac:dyDescent="0.2">
      <c r="D48" s="1" t="str">
        <f>"Electricity generation"</f>
        <v>Electricity generation</v>
      </c>
      <c r="E48" s="13" t="s">
        <v>199</v>
      </c>
      <c r="F48" s="13" t="s">
        <v>205</v>
      </c>
      <c r="G48" s="13" t="s">
        <v>209</v>
      </c>
      <c r="H48" s="82"/>
      <c r="I48" s="82"/>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9" spans="1:10" ht="20.100000000000001" customHeight="1" x14ac:dyDescent="0.2">
      <c r="A49" s="80" t="s">
        <v>1</v>
      </c>
    </row>
    <row r="50" spans="1:10" ht="20.100000000000001" customHeight="1" x14ac:dyDescent="0.2">
      <c r="A50" s="5" t="str">
        <f>HYPERLINK("#'Constants - Poultry'!A1", "Constants - Poultry")</f>
        <v>Constants - Poultry</v>
      </c>
      <c r="J50" s="83">
        <f>SUM(Table_Input_DataQuality_FuelElectricity[Score])</f>
        <v>55</v>
      </c>
    </row>
    <row r="51" spans="1:10" ht="20.100000000000001" customHeight="1" x14ac:dyDescent="0.2">
      <c r="A51" s="5" t="str">
        <f>HYPERLINK("#'Constants - Common livestock'!A1", "Constants - Common Livestock")</f>
        <v>Constants - Common Livestock</v>
      </c>
    </row>
    <row r="52" spans="1:10" ht="20.100000000000001" customHeight="1" x14ac:dyDescent="0.2">
      <c r="A52" s="5" t="str">
        <f>HYPERLINK("#'Constants - Electricity'!A1", "Constants - Electricity")</f>
        <v>Constants - Electricity</v>
      </c>
      <c r="D52" s="2" t="s">
        <v>226</v>
      </c>
    </row>
    <row r="53" spans="1:10" ht="20.100000000000001" customHeight="1" x14ac:dyDescent="0.2">
      <c r="A53" s="5" t="str">
        <f>HYPERLINK("#'Constants - Fertiliser'!A1", "Constants - Fertiliser")</f>
        <v>Constants - Fertiliser</v>
      </c>
    </row>
    <row r="54" spans="1:10" ht="20.100000000000001" customHeight="1" x14ac:dyDescent="0.2">
      <c r="A54" s="5" t="str">
        <f>HYPERLINK("#'Constants - Fuel'!A1", "Constants - Fuel")</f>
        <v>Constants - Fuel</v>
      </c>
      <c r="D54" s="78" t="s">
        <v>220</v>
      </c>
      <c r="E54" s="78" t="s">
        <v>221</v>
      </c>
      <c r="F54" s="78" t="s">
        <v>222</v>
      </c>
      <c r="G54" s="78" t="s">
        <v>223</v>
      </c>
      <c r="H54" s="78" t="s">
        <v>148</v>
      </c>
      <c r="I54" s="78" t="s">
        <v>149</v>
      </c>
      <c r="J54" s="78" t="s">
        <v>150</v>
      </c>
    </row>
    <row r="55" spans="1:10" ht="20.100000000000001" customHeight="1" x14ac:dyDescent="0.2">
      <c r="A55" s="5" t="str">
        <f>HYPERLINK("#'Constants - Scope 3'!A1", "Constants - Scope 3")</f>
        <v>Constants - Scope 3</v>
      </c>
      <c r="D55" s="1" t="str">
        <f>"Farm input purchases"</f>
        <v>Farm input purchases</v>
      </c>
      <c r="E55" s="13" t="s">
        <v>199</v>
      </c>
      <c r="F55" s="13" t="s">
        <v>205</v>
      </c>
      <c r="G55" s="13" t="s">
        <v>210</v>
      </c>
      <c r="H55" s="82"/>
      <c r="I55" s="82"/>
      <c r="J5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6" spans="1:10" ht="20.100000000000001" customHeight="1" x14ac:dyDescent="0.2">
      <c r="A56" s="5" t="str">
        <f>HYPERLINK("#'Constants - Solid Waste'!A1", "Constants - Solid Waste")</f>
        <v>Constants - Solid Waste</v>
      </c>
      <c r="D56" s="1" t="str">
        <f>"Inbound freight use"</f>
        <v>Inbound freight use</v>
      </c>
      <c r="E56" s="13" t="s">
        <v>199</v>
      </c>
      <c r="F56" s="13" t="s">
        <v>205</v>
      </c>
      <c r="G56" s="13" t="s">
        <v>209</v>
      </c>
      <c r="H56" s="82"/>
      <c r="I56" s="82"/>
      <c r="J5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1:10" ht="20.100000000000001" customHeight="1" x14ac:dyDescent="0.2">
      <c r="A57" s="5" t="str">
        <f>HYPERLINK("#'Constants - Common'!A1", "Constants - Common")</f>
        <v>Constants - Common</v>
      </c>
      <c r="D57" s="1" t="str">
        <f>"Outbound freight use"</f>
        <v>Outbound freight use</v>
      </c>
      <c r="E57" s="13" t="s">
        <v>199</v>
      </c>
      <c r="F57" s="13" t="s">
        <v>205</v>
      </c>
      <c r="G57" s="13" t="s">
        <v>209</v>
      </c>
      <c r="H57" s="82"/>
      <c r="I57" s="82"/>
      <c r="J5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8" spans="1:10" ht="20.100000000000001" customHeight="1" x14ac:dyDescent="0.2">
      <c r="D58" s="1" t="str">
        <f>"Use of contractors and service providers"</f>
        <v>Use of contractors and service providers</v>
      </c>
      <c r="E58" s="13"/>
      <c r="F58" s="13"/>
      <c r="G58" s="13"/>
      <c r="H58" s="82"/>
      <c r="I58" s="82"/>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9" spans="1:10" ht="20.100000000000001" customHeight="1" x14ac:dyDescent="0.2">
      <c r="D59" s="1" t="str">
        <f>"Solid waste generation and treatment"</f>
        <v>Solid waste generation and treatment</v>
      </c>
      <c r="E59" s="13" t="s">
        <v>199</v>
      </c>
      <c r="F59" s="13" t="s">
        <v>205</v>
      </c>
      <c r="G59" s="13" t="s">
        <v>209</v>
      </c>
      <c r="H59" s="82"/>
      <c r="I59" s="82"/>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1:10" ht="20.100000000000001" customHeight="1" x14ac:dyDescent="0.2">
      <c r="J61" s="83">
        <f>SUM(Table_Input_DataQuality_FarmInputsFreightWaste[Score])</f>
        <v>55</v>
      </c>
    </row>
    <row r="62" spans="1:10" ht="20.100000000000001" customHeight="1" x14ac:dyDescent="0.2">
      <c r="D62" s="85" t="s">
        <v>227</v>
      </c>
      <c r="E62" s="86" t="str">
        <f>(J16+J27+J40+J50+J61)&amp;" out of "&amp;((COUNT(Table_Input_DataQuality_Enterprise[Score])*15)+(COUNT(Table_Input_DataQuality_Site[Score])*15)+(COUNT(Table_Input_DataQuality_PastureManagement[Score])*15)+(COUNT(Table_Input_DataQuality_FuelElectricity[Score])*15)+(COUNT(Table_Input_DataQuality_FarmInputsFreightWaste[Score])*15))</f>
        <v>293 out of 450</v>
      </c>
    </row>
  </sheetData>
  <dataValidations count="3">
    <dataValidation type="list" allowBlank="1" showInputMessage="1" showErrorMessage="1" sqref="G20:G25 G45:G48 G55:G59 G31:G38 G8:G14" xr:uid="{97D978E2-EFFF-4D26-AA9B-97907606C063}">
      <formula1>INDIRECT("Table_SourceData_DataQuality_SampleSize[User friendly description]")</formula1>
    </dataValidation>
    <dataValidation type="list" allowBlank="1" showInputMessage="1" showErrorMessage="1" sqref="E20:E25 E45:E48 E55:E59 E31:E38 E8:E14" xr:uid="{6365A925-6C5F-4576-82C6-82C3A3309F18}">
      <formula1>INDIRECT("Table_SourceData_DataQuality_TemporalRepresentativeness[User friendly description]")</formula1>
    </dataValidation>
    <dataValidation type="list" allowBlank="1" showInputMessage="1" showErrorMessage="1" sqref="F20:F25 F45:F48 F55:F59 F31:F38 F8:F14"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D210-3304-45F8-AF36-77C119D5275E}">
  <sheetPr>
    <tabColor rgb="FF008000"/>
  </sheetPr>
  <dimension ref="A1:U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327</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MMS_Poultry_Methane_Equations.VEERG_4_6_1_1__5_VolatileSolidProduction_Title()</f>
        <v>Volatile solid production poultry classes</v>
      </c>
    </row>
    <row r="6" spans="1:21" ht="20.100000000000001" customHeight="1" x14ac:dyDescent="0.2">
      <c r="D6" s="17" t="str" cm="1">
        <f t="array" ref="D6">MMS_Poultry_Methane_Equations.VEERG_4_6_1_1__5_VolatileSolidProduction_Source()</f>
        <v>VEERG 2026: 4.4.1.1, Equation (5)</v>
      </c>
    </row>
    <row r="7" spans="1:21" ht="20.100000000000001" customHeight="1" x14ac:dyDescent="0.2">
      <c r="D7" s="112" t="s">
        <v>328</v>
      </c>
      <c r="E7" s="112" t="str" cm="1">
        <f t="array" aca="1" ref="E7" ca="1">Common_InputFunctions.Utility_DisplayFunctionName(D35)</f>
        <v>=MMS_Poultry_Methane_Equations.VEERG_4_6_1_1__5_VolatileSolidProduction</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MMS_Poultry_Methane_Equations.VEERG_4_6_1_1__5_VolatileSolidProduction_Variable()</f>
        <v>VS_jk</v>
      </c>
    </row>
    <row r="11" spans="1:21" ht="20.100000000000001" customHeight="1" x14ac:dyDescent="0.2">
      <c r="A11" s="5" t="str">
        <f>HYPERLINK("#'Input - Poultry'!A1", "Poultry")</f>
        <v>Poultry</v>
      </c>
      <c r="D11" s="75" t="s">
        <v>118</v>
      </c>
      <c r="E11" s="9" t="str" cm="1">
        <f t="array" ref="E11">MMS_Poultry_Methane_Equations.VEERG_4_6_1_1__5_VolatileSolidProduction_Unit()</f>
        <v>kg VS/bird/day</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15">_xlfn.CHOOSECOLS(MMS_Poultry_Methane_Equations.VEERG_4_6_1_1__5_VolatileSolidProduction_Arguments(),1,2)</f>
        <v>I_jk</v>
      </c>
      <c r="E13" s="113" t="str">
        <v>dry matter intake for each class and subclass</v>
      </c>
      <c r="F13" s="113"/>
      <c r="G13" s="113" t="str" cm="1">
        <f t="array" ref="G13:H15">_xlfn.CHOOSECOLS(MMS_Poultry_Methane_Equations.VEERG_4_6_1_1__5_VolatileSolidProduction_Arguments(),3,4)</f>
        <v>kg DM/bird/day</v>
      </c>
      <c r="H13" s="114" t="str">
        <v>Input</v>
      </c>
      <c r="I13" s="116" t="str" cm="1">
        <f t="array" aca="1" ref="I13" ca="1">HYPERLINK(Common_InputFunctions.Utility_SourceHyperlink($D$17), $D$17)</f>
        <v>M1_Table_I_j_k</v>
      </c>
    </row>
    <row r="14" spans="1:21" ht="20.100000000000001" customHeight="1" x14ac:dyDescent="0.2">
      <c r="A14" s="5" t="str">
        <f>HYPERLINK("#'Input - Fuel'!A1", "Fuel")</f>
        <v>Fuel</v>
      </c>
      <c r="D14" s="113" t="str">
        <v>DMD_jk</v>
      </c>
      <c r="E14" s="113" t="str">
        <v>dry matter digestibility for each class and subclass</v>
      </c>
      <c r="F14" s="113"/>
      <c r="G14" s="113" t="str">
        <v>fraction</v>
      </c>
      <c r="H14" s="114" t="str">
        <v>Input</v>
      </c>
      <c r="I14" s="116" t="str" cm="1">
        <f t="array" aca="1" ref="I14" ca="1">HYPERLINK(Common_InputFunctions.Utility_SourceHyperlink($D$22), $D$22)</f>
        <v>M1_Table_DMD_j_k</v>
      </c>
    </row>
    <row r="15" spans="1:21" ht="20.100000000000001" customHeight="1" x14ac:dyDescent="0.2">
      <c r="A15" s="5" t="str">
        <f>HYPERLINK("#'Input - Electricity'!A1", "Electricity")</f>
        <v>Electricity</v>
      </c>
      <c r="D15" s="113" t="str">
        <v>A_j</v>
      </c>
      <c r="E15" s="113" t="str">
        <v>ash content of manure for each class and subclass</v>
      </c>
      <c r="F15" s="113"/>
      <c r="G15" s="113" t="str">
        <v>fraction</v>
      </c>
      <c r="H15" s="115" t="str">
        <v>Constant</v>
      </c>
      <c r="I15" s="116" t="str" cm="1">
        <f t="array" aca="1" ref="I15" ca="1">HYPERLINK(Common_InputFunctions.Utility_SourceHyperlink($D$32), $D$32)</f>
        <v>M1_Table_VS_j_k</v>
      </c>
    </row>
    <row r="16" spans="1:21" ht="20.100000000000001" customHeight="1" x14ac:dyDescent="0.2">
      <c r="A16" s="5" t="str">
        <f>HYPERLINK("#'Input - Common farm inputs'!A1", "Common farm inputs")</f>
        <v>Common farm inputs</v>
      </c>
    </row>
    <row r="17" spans="1:18" ht="20.100000000000001" customHeight="1" x14ac:dyDescent="0.2">
      <c r="A17" s="5" t="str">
        <f>HYPERLINK("#'Input - Livestock farm Inputs'!A1", "Livestock farm Inputs")</f>
        <v>Livestock farm Inputs</v>
      </c>
      <c r="D17" s="118" t="s">
        <v>330</v>
      </c>
      <c r="N17" s="118" t="s">
        <v>331</v>
      </c>
    </row>
    <row r="18" spans="1:18" ht="20.100000000000001" customHeight="1" x14ac:dyDescent="0.2">
      <c r="A18" s="5" t="str">
        <f>HYPERLINK("#'Input - Freight'!A1", "Freight")</f>
        <v>Freight</v>
      </c>
      <c r="D18" s="119" t="s">
        <v>332</v>
      </c>
      <c r="N18" s="119" t="s">
        <v>333</v>
      </c>
    </row>
    <row r="19" spans="1:18" ht="20.100000000000001" customHeight="1" x14ac:dyDescent="0.2">
      <c r="A19" s="5" t="str">
        <f>HYPERLINK("#'Input - Solid waste'!A1", "Solid waste")</f>
        <v>Solid waste</v>
      </c>
      <c r="D19" s="78" t="s">
        <v>297</v>
      </c>
      <c r="E19" s="78" t="s">
        <v>298</v>
      </c>
      <c r="F19" s="78" t="s">
        <v>299</v>
      </c>
      <c r="G19" s="78" t="s">
        <v>300</v>
      </c>
      <c r="N19" s="78" t="s">
        <v>297</v>
      </c>
      <c r="O19" s="78" t="s">
        <v>298</v>
      </c>
      <c r="P19" s="78" t="s">
        <v>299</v>
      </c>
      <c r="Q19" s="78" t="s">
        <v>300</v>
      </c>
    </row>
    <row r="20" spans="1:18" ht="20.100000000000001" customHeight="1" x14ac:dyDescent="0.2">
      <c r="A20" s="5" t="str">
        <f>HYPERLINK("#'Input - Manure sent off-site'!A1", "Manure sent off-site")</f>
        <v>Manure sent off-site</v>
      </c>
      <c r="D20" s="15">
        <f>INDEX(X_Table_Poultry_Diet_Method1,2,2)</f>
        <v>8.5999999999999993E-2</v>
      </c>
      <c r="E20" s="15">
        <f>INDEX(X_Table_Poultry_Diet_Method1,2,3)</f>
        <v>9.2999999999999999E-2</v>
      </c>
      <c r="F20" s="15">
        <f>INDEX(X_Table_Poultry_Diet_Method1,2,4)</f>
        <v>0.10299999999999999</v>
      </c>
      <c r="G20" s="15">
        <f>INDEX(X_Table_Poultry_Diet_Method1,2,5)</f>
        <v>9.2999999999999999E-2</v>
      </c>
      <c r="H20" s="16" t="str">
        <f>$G$13</f>
        <v>kg DM/bird/day</v>
      </c>
      <c r="N20" s="15">
        <f>INDEX(X_Table_Poultry_Diet_Method2,2,2)</f>
        <v>8.5999999999999993E-2</v>
      </c>
      <c r="O20" s="15">
        <f>INDEX(X_Table_Poultry_Diet_Method2,2,3)</f>
        <v>9.2999999999999999E-2</v>
      </c>
      <c r="P20" s="15">
        <f>INDEX(X_Table_Poultry_Diet_Method2,2,4)</f>
        <v>0.10299999999999999</v>
      </c>
      <c r="Q20" s="15">
        <f>INDEX(X_Table_Poultry_Diet_Method2,2,5)</f>
        <v>9.2999999999999999E-2</v>
      </c>
      <c r="R20" s="16" t="str">
        <f>$G$13</f>
        <v>kg DM/bird/day</v>
      </c>
    </row>
    <row r="21" spans="1:18" ht="20.100000000000001" customHeight="1" x14ac:dyDescent="0.2">
      <c r="A21" s="5" t="str">
        <f>HYPERLINK("#'Input - Data quality'!A1", "Data quality")</f>
        <v>Data quality</v>
      </c>
    </row>
    <row r="22" spans="1:18" ht="20.100000000000001" customHeight="1" x14ac:dyDescent="0.2">
      <c r="A22" s="5" t="str">
        <f>HYPERLINK("#'Input - Fert Prod System'!A1", "Fert Prod System")</f>
        <v>Fert Prod System</v>
      </c>
      <c r="D22" s="118" t="s">
        <v>334</v>
      </c>
      <c r="N22" s="118" t="s">
        <v>335</v>
      </c>
    </row>
    <row r="23" spans="1:18" ht="20.100000000000001" customHeight="1" x14ac:dyDescent="0.2">
      <c r="A23" s="5" t="str">
        <f>HYPERLINK("#'Input - Fertiliser'!A1", "Fertiliser")</f>
        <v>Fertiliser</v>
      </c>
      <c r="D23" s="119" t="s">
        <v>336</v>
      </c>
      <c r="N23" s="119" t="s">
        <v>337</v>
      </c>
    </row>
    <row r="24" spans="1:18" ht="20.100000000000001" customHeight="1" x14ac:dyDescent="0.2">
      <c r="D24" s="78" t="s">
        <v>297</v>
      </c>
      <c r="E24" s="78" t="s">
        <v>298</v>
      </c>
      <c r="F24" s="78" t="s">
        <v>299</v>
      </c>
      <c r="G24" s="78" t="s">
        <v>300</v>
      </c>
      <c r="N24" s="78" t="s">
        <v>297</v>
      </c>
      <c r="O24" s="78" t="s">
        <v>298</v>
      </c>
      <c r="P24" s="78" t="s">
        <v>299</v>
      </c>
      <c r="Q24" s="78" t="s">
        <v>300</v>
      </c>
    </row>
    <row r="25" spans="1:18" ht="20.100000000000001" customHeight="1" x14ac:dyDescent="0.2">
      <c r="D25" s="15">
        <f>INDEX(X_Table_Poultry_Diet_Method1,3,2)</f>
        <v>0.8</v>
      </c>
      <c r="E25" s="15">
        <f>INDEX(X_Table_Poultry_Diet_Method1,3,3)</f>
        <v>0.8</v>
      </c>
      <c r="F25" s="15">
        <f>INDEX(X_Table_Poultry_Diet_Method1,3,4)</f>
        <v>0.8</v>
      </c>
      <c r="G25" s="15">
        <f>INDEX(X_Table_Poultry_Diet_Method1,3,5)</f>
        <v>0.8</v>
      </c>
      <c r="H25" s="16" t="str">
        <f>$G$14</f>
        <v>fraction</v>
      </c>
      <c r="N25" s="15">
        <f>INDEX(X_Table_Poultry_Diet_Method2,3,2)</f>
        <v>0.8</v>
      </c>
      <c r="O25" s="15">
        <f>INDEX(X_Table_Poultry_Diet_Method2,3,3)</f>
        <v>0.8</v>
      </c>
      <c r="P25" s="15">
        <f>INDEX(X_Table_Poultry_Diet_Method2,3,4)</f>
        <v>0.8</v>
      </c>
      <c r="Q25" s="15">
        <f>INDEX(X_Table_Poultry_Diet_Method2,3,5)</f>
        <v>0.8</v>
      </c>
      <c r="R25" s="16" t="str">
        <f>$G$14</f>
        <v>fraction</v>
      </c>
    </row>
    <row r="26" spans="1:18" ht="20.100000000000001" customHeight="1" x14ac:dyDescent="0.2">
      <c r="A26" s="6" t="s">
        <v>2</v>
      </c>
    </row>
    <row r="27" spans="1:18" ht="20.100000000000001" customHeight="1" x14ac:dyDescent="0.2">
      <c r="A27" s="117" t="str">
        <f>HYPERLINK("#'4.6.1.1-2 Methane'!A1", "4.6.1.1-2 Manure Methane")</f>
        <v>4.6.1.1-2 Manure Methane</v>
      </c>
      <c r="D27" s="118" t="s">
        <v>338</v>
      </c>
    </row>
    <row r="28" spans="1:18" ht="20.100000000000001" customHeight="1" x14ac:dyDescent="0.2">
      <c r="A28" s="5" t="str">
        <f>HYPERLINK("#'4.6.1.3-4 Direct N20'!A1", "4.6.1.3-4 Manure Direct N2O")</f>
        <v>4.6.1.3-4 Manure Direct N2O</v>
      </c>
      <c r="D28" s="119" t="s">
        <v>339</v>
      </c>
    </row>
    <row r="29" spans="1:18" ht="20.100000000000001" customHeight="1" x14ac:dyDescent="0.2">
      <c r="A29" s="5" t="str">
        <f>HYPERLINK("#'4.6.1.5-6 Atmos Dep'!A1", "4.6.1.5-6 Manure Atmos Dep")</f>
        <v>4.6.1.5-6 Manure Atmos Dep</v>
      </c>
      <c r="D29" s="120" t="s">
        <v>297</v>
      </c>
      <c r="E29" s="120" t="s">
        <v>298</v>
      </c>
      <c r="F29" s="120" t="s">
        <v>299</v>
      </c>
      <c r="G29" s="120" t="s">
        <v>300</v>
      </c>
    </row>
    <row r="30" spans="1:18" ht="20.100000000000001" customHeight="1" x14ac:dyDescent="0.2">
      <c r="A30" s="5" t="str">
        <f>HYPERLINK("#'4.6.1.7-8 Leaching and runoff'!A1", "4.6.1.7-8 Manure Leaching and runoff")</f>
        <v>4.6.1.7-8 Manure Leaching and runoff</v>
      </c>
      <c r="D30" s="15">
        <f>'Constants - Poultry'!E13</f>
        <v>0.18</v>
      </c>
      <c r="E30" s="15">
        <f>'Constants - Poultry'!F13</f>
        <v>0.15</v>
      </c>
      <c r="F30" s="15">
        <f>'Constants - Poultry'!G13</f>
        <v>0.18</v>
      </c>
      <c r="G30" s="15">
        <f>'Constants - Poultry'!H13</f>
        <v>0.15</v>
      </c>
      <c r="H30" s="16" t="str">
        <f>$G$15</f>
        <v>fraction</v>
      </c>
    </row>
    <row r="31" spans="1:18" ht="20.100000000000001" customHeight="1" x14ac:dyDescent="0.2">
      <c r="A31" s="5" t="str">
        <f>HYPERLINK("#'4.6.1.9 Manure applied to soils'!A1", "4.6.1.9 Manure applied to soils")</f>
        <v>4.6.1.9 Manure applied to soils</v>
      </c>
    </row>
    <row r="32" spans="1:18" ht="20.100000000000001" customHeight="1" x14ac:dyDescent="0.2">
      <c r="A32" s="5" t="str">
        <f>HYPERLINK("#'4.6.1.10-11 Soil direct N2O'!A1", "4.6.1.10-11 Soil direct N2O")</f>
        <v>4.6.1.10-11 Soil direct N2O</v>
      </c>
      <c r="D32" s="118" t="s">
        <v>340</v>
      </c>
      <c r="N32" s="118" t="s">
        <v>341</v>
      </c>
    </row>
    <row r="33" spans="1:21" ht="20.100000000000001" customHeight="1" x14ac:dyDescent="0.2">
      <c r="A33" s="5" t="str">
        <f>HYPERLINK("#'4.6.1.12-13 Soil atmos dep'!A1", "4.6.1.12-13 Soil atmos dep")</f>
        <v>4.6.1.12-13 Soil atmos dep</v>
      </c>
      <c r="D33" s="119" t="s">
        <v>342</v>
      </c>
      <c r="N33" s="119" t="s">
        <v>343</v>
      </c>
    </row>
    <row r="34" spans="1:21" ht="20.100000000000001" customHeight="1" x14ac:dyDescent="0.2">
      <c r="A34" s="5" t="str">
        <f>HYPERLINK("#'4.6.1.14-15 Soil leach runoff'!A1", "4.6.1.14-15 Soil leach runoff")</f>
        <v>4.6.1.14-15 Soil leach runoff</v>
      </c>
      <c r="D34" s="120" t="s">
        <v>297</v>
      </c>
      <c r="E34" s="120" t="s">
        <v>298</v>
      </c>
      <c r="F34" s="120" t="s">
        <v>299</v>
      </c>
      <c r="G34" s="120" t="s">
        <v>300</v>
      </c>
      <c r="N34" s="120" t="s">
        <v>297</v>
      </c>
      <c r="O34" s="120" t="s">
        <v>298</v>
      </c>
      <c r="P34" s="120" t="s">
        <v>299</v>
      </c>
      <c r="Q34" s="120" t="s">
        <v>300</v>
      </c>
    </row>
    <row r="35" spans="1:21" ht="20.100000000000001" customHeight="1" x14ac:dyDescent="0.2">
      <c r="A35" s="5" t="str">
        <f>HYPERLINK("#'8.1.1.1-2 Transport fuel'!A1", "8.1.1.1-2 Transport fuel")</f>
        <v>8.1.1.1-2 Transport fuel</v>
      </c>
      <c r="D35" s="15" cm="1">
        <f t="array" ref="D35">MMS_Poultry_Methane_Equations.VEERG_4_6_1_1__5_VolatileSolidProduction(D20,D25,D30)</f>
        <v>1.4103999999999995E-2</v>
      </c>
      <c r="E35" s="15" cm="1">
        <f t="array" ref="E35">MMS_Poultry_Methane_Equations.VEERG_4_6_1_1__5_VolatileSolidProduction(E20,E25,E30)</f>
        <v>1.5809999999999994E-2</v>
      </c>
      <c r="F35" s="15" cm="1">
        <f t="array" ref="F35">MMS_Poultry_Methane_Equations.VEERG_4_6_1_1__5_VolatileSolidProduction(F20,F25,F30)</f>
        <v>1.6891999999999997E-2</v>
      </c>
      <c r="G35" s="15" cm="1">
        <f t="array" ref="G35">MMS_Poultry_Methane_Equations.VEERG_4_6_1_1__5_VolatileSolidProduction(G20,G25,G30)</f>
        <v>1.5809999999999994E-2</v>
      </c>
      <c r="H35" s="16" t="str">
        <f>$E$11</f>
        <v>kg VS/bird/day</v>
      </c>
      <c r="N35" s="15" cm="1">
        <f t="array" ref="N35">MMS_Poultry_Methane_Equations.VEERG_4_6_1_1__5_VolatileSolidProduction(N20,N25,D30)</f>
        <v>1.4103999999999995E-2</v>
      </c>
      <c r="O35" s="15" cm="1">
        <f t="array" ref="O35">MMS_Poultry_Methane_Equations.VEERG_4_6_1_1__5_VolatileSolidProduction(O20,O25,E30)</f>
        <v>1.5809999999999994E-2</v>
      </c>
      <c r="P35" s="15" cm="1">
        <f t="array" ref="P35">MMS_Poultry_Methane_Equations.VEERG_4_6_1_1__5_VolatileSolidProduction(P20,P25,F30)</f>
        <v>1.6891999999999997E-2</v>
      </c>
      <c r="Q35" s="15" cm="1">
        <f t="array" ref="Q35">MMS_Poultry_Methane_Equations.VEERG_4_6_1_1__5_VolatileSolidProduction(Q20,Q25,G30)</f>
        <v>1.5809999999999994E-2</v>
      </c>
      <c r="R35" s="16" t="str">
        <f>$E$11</f>
        <v>kg VS/bird/day</v>
      </c>
    </row>
    <row r="36" spans="1:21" ht="20.100000000000001" customHeight="1" x14ac:dyDescent="0.2">
      <c r="A36" s="5" t="str">
        <f>HYPERLINK("#'8.2.1.1-2 Stationary fuel'!A1", "8.2.1.1-2 Stationary fuel")</f>
        <v>8.2.1.1-2 Stationary fuel</v>
      </c>
    </row>
    <row r="37" spans="1:21" ht="20.100000000000001" customHeight="1" x14ac:dyDescent="0.2">
      <c r="A37" s="5" t="str">
        <f>HYPERLINK("#'10.1.1-2 Solid waste treatment'!A1", "10.1.1.1-2 Solid waste")</f>
        <v>10.1.1.1-2 Solid waste</v>
      </c>
      <c r="C37" s="121"/>
      <c r="D37" s="121"/>
      <c r="E37" s="121"/>
      <c r="F37" s="121"/>
      <c r="G37" s="121"/>
      <c r="H37" s="121"/>
      <c r="I37" s="121"/>
      <c r="J37" s="121"/>
      <c r="K37" s="121"/>
      <c r="M37" s="121"/>
      <c r="N37" s="121"/>
      <c r="O37" s="121"/>
      <c r="P37" s="121"/>
      <c r="Q37" s="121"/>
      <c r="R37" s="121"/>
      <c r="S37" s="121"/>
      <c r="T37" s="121"/>
      <c r="U37" s="121"/>
    </row>
    <row r="38" spans="1:21" ht="20.100000000000001" customHeight="1" x14ac:dyDescent="0.2">
      <c r="A38" s="5" t="str">
        <f>HYPERLINK("#'14.1.1-2 Purchased electricity'!A1", "14.1.1-2 Purchased electricity")</f>
        <v>14.1.1-2 Purchased electricity</v>
      </c>
    </row>
    <row r="39" spans="1:21" ht="20.100000000000001" customHeight="1" x14ac:dyDescent="0.2">
      <c r="A39" s="5" t="str">
        <f>HYPERLINK("#'15 Scope 3'!A1", "15 Scope 3")</f>
        <v>15 Scope 3</v>
      </c>
      <c r="D39" s="2" t="str" cm="1">
        <f t="array" ref="D39">MMS_Poultry_Methane_Equations.VEERG_4_6_1_1__2_Stage1MethaneProduction_Title()</f>
        <v>Production of methane in treatment stage 1 MMS</v>
      </c>
    </row>
    <row r="40" spans="1:21" ht="20.100000000000001" customHeight="1" x14ac:dyDescent="0.2">
      <c r="A40" s="5" t="str">
        <f>HYPERLINK("#'Calcs - Manure sent off-site'!A1", "Calcs - Manure sent off-site")</f>
        <v>Calcs - Manure sent off-site</v>
      </c>
      <c r="D40" s="17" t="str" cm="1">
        <f t="array" ref="D40">MMS_Poultry_Methane_Equations.VEERG_4_6_1_1__2_Stage1MethaneProduction_Source()</f>
        <v>VEERG 2026: 4.4.1.1, Equation (2)</v>
      </c>
    </row>
    <row r="41" spans="1:21" ht="20.100000000000001" customHeight="1" x14ac:dyDescent="0.2">
      <c r="A41" s="5" t="str">
        <f>HYPERLINK("#'5.1.1.1-2 Inorganic fert N2O'!A1", "5.1.1.1-2 Inorganic fert N2O")</f>
        <v>5.1.1.1-2 Inorganic fert N2O</v>
      </c>
      <c r="D41" s="25" t="str" cm="1">
        <f t="array" ref="D41:D43">MMS_Poultry_Methane_Equations.VEERG_4_6_1_1__2_Stage1MethaneProduction_Variation()</f>
        <v>VARIATION ON SOURCE:</v>
      </c>
    </row>
    <row r="42" spans="1:21" ht="20.100000000000001" customHeight="1" x14ac:dyDescent="0.2">
      <c r="A42" s="5" t="str">
        <f>HYPERLINK("#'5.1.1.3-4 Inorganic fert CO2'!A1", "5.1.1.3-4 Inorganic fert CO2")</f>
        <v>5.1.1.3-4 Inorganic fert CO2</v>
      </c>
      <c r="D42" s="25" t="str">
        <v>Used mean annual temperature instead of temperature zone to determine MCF as MCF values are specific to temperature</v>
      </c>
    </row>
    <row r="43" spans="1:21" ht="20.100000000000001" customHeight="1" x14ac:dyDescent="0.2">
      <c r="A43" s="5" t="str">
        <f>HYPERLINK("#'5.2.1.1-2 Organic Fert N2O'!A1", "5.2.1.1-2 Organic Fert N2O")</f>
        <v>5.2.1.1-2 Organic Fert N2O</v>
      </c>
      <c r="D43" s="25" t="str">
        <v>Method 2: Used state based MCF values for 'Belt manure removal' and 'Manure stored in house' MMS as no temperature values exist in Table A.1.8.1</v>
      </c>
    </row>
    <row r="44" spans="1:21" ht="20.100000000000001" customHeight="1" x14ac:dyDescent="0.2">
      <c r="A44" s="5" t="str">
        <f>HYPERLINK("#'5.3.1.1-2 Lime CO2'!A1", "5.3.1.1-2 Lime CO2")</f>
        <v>5.3.1.1-2 Lime CO2</v>
      </c>
      <c r="D44" s="112" t="s">
        <v>328</v>
      </c>
      <c r="E44" s="112" t="str" cm="1">
        <f t="array" aca="1" ref="E44" ca="1">Common_InputFunctions.Utility_DisplayFunctionName(E86)</f>
        <v>=MMS_Poultry_Methane_Equations.VEERG_4_6_1_1__2_Stage1MethaneProduction</v>
      </c>
    </row>
    <row r="45" spans="1:21" ht="20.100000000000001" customHeight="1" x14ac:dyDescent="0.2">
      <c r="A45" s="5" t="str">
        <f>HYPERLINK("#'5.4.1.1-4 Atmos deposition'!A1", "5.4.1.1-4 Atmos deposition")</f>
        <v>5.4.1.1-4 Atmos deposition</v>
      </c>
    </row>
    <row r="46" spans="1:21" ht="20.100000000000001" customHeight="1" x14ac:dyDescent="0.2">
      <c r="A46" s="5" t="str">
        <f>HYPERLINK("#'5.5.1.1-2 Leaching and runoff'!A1", "5.5.1.1-2 Leaching and runoff")</f>
        <v>5.5.1.1-2 Leaching and runoff</v>
      </c>
    </row>
    <row r="47" spans="1:21" ht="20.100000000000001" customHeight="1" x14ac:dyDescent="0.2">
      <c r="D47" s="75" t="s">
        <v>329</v>
      </c>
      <c r="E47" s="1" t="str" cm="1">
        <f t="array" ref="E47">MMS_Poultry_Methane_Equations.VEERG_4_6_1_1__2_Stage1MethaneProduction_Variable()</f>
        <v>M_jkmT1</v>
      </c>
    </row>
    <row r="48" spans="1:21" ht="20.100000000000001" customHeight="1" x14ac:dyDescent="0.2">
      <c r="D48" s="75" t="s">
        <v>118</v>
      </c>
      <c r="E48" s="9" t="str" cm="1">
        <f t="array" ref="E48">MMS_Poultry_Methane_Equations.VEERG_4_6_1_1__2_Stage1MethaneProduction_Unit()</f>
        <v>kg CH4/bird/day</v>
      </c>
    </row>
    <row r="49" spans="1:19" ht="20.100000000000001" customHeight="1" x14ac:dyDescent="0.2">
      <c r="A49" s="80" t="s">
        <v>1</v>
      </c>
    </row>
    <row r="50" spans="1:19" ht="20.100000000000001" customHeight="1" x14ac:dyDescent="0.2">
      <c r="A50" s="5" t="str">
        <f>HYPERLINK("#'Constants - Poultry'!A1", "Constants - Poultry")</f>
        <v>Constants - Poultry</v>
      </c>
      <c r="D50" s="113" t="str" cm="1">
        <f t="array" ref="D50:E55">_xlfn.CHOOSECOLS(MMS_Poultry_Methane_Equations.VEERG_4_6_1_1__2_Stage1MethaneProduction_Arguments(),1,2)</f>
        <v>VS_jk</v>
      </c>
      <c r="E50" s="122" t="str">
        <v>volatile solid production poultry classes</v>
      </c>
      <c r="F50" s="123"/>
      <c r="G50" s="113" t="str" cm="1">
        <f t="array" ref="G50:H55">_xlfn.CHOOSECOLS(MMS_Poultry_Methane_Equations.VEERG_4_6_1_1__2_Stage1MethaneProduction_Arguments(),3,4)</f>
        <v>kg VS/bird/day</v>
      </c>
      <c r="H50" s="115" t="str">
        <v>Calculated from 4.6.1.1 (5)</v>
      </c>
      <c r="I50" s="116" t="str" cm="1">
        <f t="array" aca="1" ref="I50" ca="1">HYPERLINK(Common_InputFunctions.Utility_SourceHyperlink($D$32), $D$32)</f>
        <v>M1_Table_VS_j_k</v>
      </c>
      <c r="N50" s="113" t="str" cm="1">
        <f t="array" ref="N50:O55">_xlfn.CHOOSECOLS(MMS_Poultry_Methane_Equations.VEERG_4_6_1_1__2_Stage1MethaneProduction_Arguments_Method2(),1,2)</f>
        <v>VS_jk</v>
      </c>
      <c r="O50" s="122" t="str">
        <v>volatile solid production poultry classes</v>
      </c>
      <c r="P50" s="123"/>
      <c r="Q50" s="113" t="str" cm="1">
        <f t="array" ref="Q50:R55">_xlfn.CHOOSECOLS(MMS_Poultry_Methane_Equations.VEERG_4_6_1_1__2_Stage1MethaneProduction_Arguments_Method2(),3,4)</f>
        <v>kg VS/bird/day</v>
      </c>
      <c r="R50" s="115" t="str">
        <v>Calculated from 4.6.1.1 (5)</v>
      </c>
      <c r="S50" s="116" t="str" cm="1">
        <f t="array" aca="1" ref="S50" ca="1">HYPERLINK(Common_InputFunctions.Utility_SourceHyperlink($D$32), $D$32)</f>
        <v>M1_Table_VS_j_k</v>
      </c>
    </row>
    <row r="51" spans="1:19" ht="20.100000000000001" customHeight="1" x14ac:dyDescent="0.2">
      <c r="A51" s="5" t="str">
        <f>HYPERLINK("#'Constants - Common livestock'!A1", "Constants - Common Livestock")</f>
        <v>Constants - Common Livestock</v>
      </c>
      <c r="D51" s="113" t="str">
        <v>BO_j</v>
      </c>
      <c r="E51" s="122" t="str">
        <v>emissions potential per class</v>
      </c>
      <c r="F51" s="123"/>
      <c r="G51" s="113" t="str">
        <v>m3 CH4/kg VS</v>
      </c>
      <c r="H51" s="115" t="str">
        <v>Constant</v>
      </c>
      <c r="I51" s="116" t="str" cm="1">
        <f t="array" aca="1" ref="I51" ca="1">HYPERLINK(Common_InputFunctions.Utility_SourceHyperlink($D$65), $D$65)</f>
        <v>Table_B_0_j</v>
      </c>
      <c r="N51" s="113" t="str">
        <v>BO_j</v>
      </c>
      <c r="O51" s="122" t="str">
        <v>emissions potential per class</v>
      </c>
      <c r="P51" s="123"/>
      <c r="Q51" s="113" t="str">
        <v>m3 CH4/kg VS</v>
      </c>
      <c r="R51" s="115" t="str">
        <v>Constant</v>
      </c>
      <c r="S51" s="116" t="str" cm="1">
        <f t="array" aca="1" ref="S51" ca="1">HYPERLINK(Common_InputFunctions.Utility_SourceHyperlink($D$65), $D$65)</f>
        <v>Table_B_0_j</v>
      </c>
    </row>
    <row r="52" spans="1:19" ht="20.100000000000001" customHeight="1" x14ac:dyDescent="0.2">
      <c r="A52" s="5" t="str">
        <f>HYPERLINK("#'Constants - Electricity'!A1", "Constants - Electricity")</f>
        <v>Constants - Electricity</v>
      </c>
      <c r="D52" s="113" t="str">
        <v>MMS_jmT1</v>
      </c>
      <c r="E52" s="122" t="str">
        <v>fraction of manure in each primary system</v>
      </c>
      <c r="F52" s="123"/>
      <c r="G52" s="113" t="str">
        <v>fraction</v>
      </c>
      <c r="H52" s="114" t="str">
        <v>Input</v>
      </c>
      <c r="I52" s="116" t="str" cm="1">
        <f t="array" aca="1" ref="I52" ca="1">HYPERLINK(Common_InputFunctions.Utility_SourceHyperlink($D$57), $D$57)</f>
        <v>Table_MMS_j_m_T-1</v>
      </c>
      <c r="N52" s="113" t="str">
        <v>MMS_jmT1</v>
      </c>
      <c r="O52" s="122" t="str">
        <v>fraction of manure in each primary system</v>
      </c>
      <c r="P52" s="123"/>
      <c r="Q52" s="113" t="str">
        <v>fraction</v>
      </c>
      <c r="R52" s="114" t="str">
        <v>Input</v>
      </c>
      <c r="S52" s="116" t="str" cm="1">
        <f t="array" aca="1" ref="S52" ca="1">HYPERLINK(Common_InputFunctions.Utility_SourceHyperlink($D$57), $D$57)</f>
        <v>Table_MMS_j_m_T-1</v>
      </c>
    </row>
    <row r="53" spans="1:19" ht="20.100000000000001" customHeight="1" x14ac:dyDescent="0.2">
      <c r="A53" s="5" t="str">
        <f>HYPERLINK("#'Constants - Fertiliser'!A1", "Constants - Fertiliser")</f>
        <v>Constants - Fertiliser</v>
      </c>
      <c r="D53" s="113" t="str">
        <v>MCF_im</v>
      </c>
      <c r="E53" s="122" t="str">
        <v>methane conversion factor for temperature zone and MMS</v>
      </c>
      <c r="F53" s="123"/>
      <c r="G53" s="113" t="str">
        <v>fraction</v>
      </c>
      <c r="H53" s="115" t="str">
        <v>Constant</v>
      </c>
      <c r="I53" s="116" t="str" cm="1">
        <f t="array" aca="1" ref="I53" ca="1">HYPERLINK(Common_InputFunctions.Utility_SourceHyperlink($D$70), $D$70)</f>
        <v>Table_MCF_i_m</v>
      </c>
      <c r="N53" s="113" t="str">
        <v>MCF_im</v>
      </c>
      <c r="O53" s="122" t="str">
        <v>methane conversion factor for temperature zone and MMS</v>
      </c>
      <c r="P53" s="123"/>
      <c r="Q53" s="113" t="str">
        <v>fraction</v>
      </c>
      <c r="R53" s="115" t="str">
        <v>Constant</v>
      </c>
      <c r="S53" s="116" t="str" cm="1">
        <f t="array" aca="1" ref="S53" ca="1">HYPERLINK(Common_InputFunctions.Utility_SourceHyperlink($D$70), $D$70)</f>
        <v>Table_MCF_i_m</v>
      </c>
    </row>
    <row r="54" spans="1:19" ht="20.100000000000001" customHeight="1" x14ac:dyDescent="0.2">
      <c r="A54" s="5" t="str">
        <f>HYPERLINK("#'Constants - Fuel'!A1", "Constants - Fuel")</f>
        <v>Constants - Fuel</v>
      </c>
      <c r="D54" s="113" t="str">
        <v>rho</v>
      </c>
      <c r="E54" s="122" t="str">
        <v>density of methane</v>
      </c>
      <c r="F54" s="123"/>
      <c r="G54" s="113" t="str">
        <v>kg/m3</v>
      </c>
      <c r="H54" s="115" t="str">
        <v>Constant</v>
      </c>
      <c r="I54" s="113">
        <f>Common_SourceData_DensityOfMethane_Data</f>
        <v>0.6784</v>
      </c>
      <c r="N54" s="113" t="str">
        <v>rho</v>
      </c>
      <c r="O54" s="122" t="str">
        <v>density of methane</v>
      </c>
      <c r="P54" s="123"/>
      <c r="Q54" s="113" t="str">
        <v>kg/m3</v>
      </c>
      <c r="R54" s="115" t="str">
        <v>Constant</v>
      </c>
      <c r="S54" s="113">
        <f>Common_SourceData_DensityOfMethane_Data</f>
        <v>0.6784</v>
      </c>
    </row>
    <row r="55" spans="1:19" ht="20.100000000000001" customHeight="1" x14ac:dyDescent="0.2">
      <c r="A55" s="5" t="str">
        <f>HYPERLINK("#'Constants - Scope 3'!A1", "Constants - Scope 3")</f>
        <v>Constants - Scope 3</v>
      </c>
      <c r="D55" s="113" t="str">
        <v>i</v>
      </c>
      <c r="E55" s="122" t="str">
        <v>state</v>
      </c>
      <c r="F55" s="123"/>
      <c r="G55" s="113" t="str">
        <v/>
      </c>
      <c r="H55" s="114" t="str">
        <v>Input</v>
      </c>
      <c r="I55" s="113" t="str">
        <f>X_Cell_Site_State</f>
        <v>Western Australia</v>
      </c>
      <c r="N55" s="113" t="str">
        <v>i</v>
      </c>
      <c r="O55" s="122" t="str">
        <v>mean annual temperature</v>
      </c>
      <c r="P55" s="123"/>
      <c r="Q55" s="113" t="str">
        <v>°C</v>
      </c>
      <c r="R55" s="114" t="str">
        <v>Input</v>
      </c>
      <c r="S55" s="113">
        <f>X_Cell_Site_AverageTemperature</f>
        <v>18</v>
      </c>
    </row>
    <row r="56" spans="1:19" ht="20.100000000000001" customHeight="1" x14ac:dyDescent="0.2">
      <c r="A56" s="5" t="str">
        <f>HYPERLINK("#'Constants - Solid Waste'!A1", "Constants - Solid Waste")</f>
        <v>Constants - Solid Waste</v>
      </c>
    </row>
    <row r="57" spans="1:19" ht="20.100000000000001" customHeight="1" x14ac:dyDescent="0.2">
      <c r="A57" s="5" t="str">
        <f>HYPERLINK("#'Constants - Common'!A1", "Constants - Common")</f>
        <v>Constants - Common</v>
      </c>
      <c r="D57" s="118" t="s">
        <v>344</v>
      </c>
    </row>
    <row r="58" spans="1:19" ht="20.100000000000001" customHeight="1" x14ac:dyDescent="0.2">
      <c r="D58" s="119" t="s">
        <v>345</v>
      </c>
    </row>
    <row r="59" spans="1:19" ht="20.100000000000001" customHeight="1" x14ac:dyDescent="0.2">
      <c r="D59" s="78" t="s">
        <v>314</v>
      </c>
      <c r="E59" s="78" t="s">
        <v>297</v>
      </c>
      <c r="F59" s="78" t="s">
        <v>298</v>
      </c>
      <c r="G59" s="78" t="s">
        <v>299</v>
      </c>
      <c r="H59" s="78" t="s">
        <v>300</v>
      </c>
    </row>
    <row r="60" spans="1:19" ht="20.100000000000001" customHeight="1" x14ac:dyDescent="0.2">
      <c r="D60" s="15" t="str">
        <f>INDEX(X_Table_Poultry_Stage1MMS,2,1)</f>
        <v>Poultry manure with bedding</v>
      </c>
      <c r="E60" s="15">
        <f>INDEX(X_Table_Poultry_Stage1MMS,2,2)</f>
        <v>0.3</v>
      </c>
      <c r="F60" s="15">
        <f>INDEX(X_Table_Poultry_Stage1MMS,2,3)</f>
        <v>0.3</v>
      </c>
      <c r="G60" s="15">
        <f>INDEX(X_Table_Poultry_Stage1MMS,2,4)</f>
        <v>0.3</v>
      </c>
      <c r="H60" s="15">
        <f>INDEX(X_Table_Poultry_Stage1MMS,2,5)</f>
        <v>0.3</v>
      </c>
      <c r="I60" s="16" t="str">
        <f>$G$52</f>
        <v>fraction</v>
      </c>
    </row>
    <row r="61" spans="1:19" ht="20.100000000000001" customHeight="1" x14ac:dyDescent="0.2">
      <c r="D61" s="15" t="str">
        <f>INDEX(X_Table_Poultry_Stage1MMS,3,1)</f>
        <v>Belt manure removal</v>
      </c>
      <c r="E61" s="15">
        <f>INDEX(X_Table_Poultry_Stage1MMS,3,2)</f>
        <v>0.3</v>
      </c>
      <c r="F61" s="15">
        <f>INDEX(X_Table_Poultry_Stage1MMS,3,3)</f>
        <v>0.3</v>
      </c>
      <c r="G61" s="15">
        <f>INDEX(X_Table_Poultry_Stage1MMS,3,4)</f>
        <v>0.3</v>
      </c>
      <c r="H61" s="15">
        <f>INDEX(X_Table_Poultry_Stage1MMS,3,5)</f>
        <v>0.3</v>
      </c>
      <c r="I61" s="16"/>
    </row>
    <row r="62" spans="1:19" ht="20.100000000000001" customHeight="1" x14ac:dyDescent="0.2">
      <c r="D62" s="15" t="str">
        <f>INDEX(X_Table_Poultry_Stage1MMS,4,1)</f>
        <v>Manure stored in house</v>
      </c>
      <c r="E62" s="15">
        <f>INDEX(X_Table_Poultry_Stage1MMS,4,2)</f>
        <v>0.3</v>
      </c>
      <c r="F62" s="15">
        <f>INDEX(X_Table_Poultry_Stage1MMS,4,3)</f>
        <v>0.3</v>
      </c>
      <c r="G62" s="15">
        <f>INDEX(X_Table_Poultry_Stage1MMS,4,4)</f>
        <v>0.3</v>
      </c>
      <c r="H62" s="15">
        <f>INDEX(X_Table_Poultry_Stage1MMS,4,5)</f>
        <v>0.3</v>
      </c>
      <c r="I62" s="16"/>
    </row>
    <row r="63" spans="1:19" ht="20.100000000000001" customHeight="1" x14ac:dyDescent="0.2">
      <c r="D63" s="15" t="str">
        <f>INDEX(X_Table_Poultry_Stage1MMS,5,1)</f>
        <v>Pasture range and paddock</v>
      </c>
      <c r="E63" s="15">
        <f>INDEX(X_Table_Poultry_Stage1MMS,5,2)</f>
        <v>0.1</v>
      </c>
      <c r="F63" s="15">
        <f>INDEX(X_Table_Poultry_Stage1MMS,5,3)</f>
        <v>0.1</v>
      </c>
      <c r="G63" s="15">
        <f>INDEX(X_Table_Poultry_Stage1MMS,5,4)</f>
        <v>0.1</v>
      </c>
      <c r="H63" s="15">
        <f>INDEX(X_Table_Poultry_Stage1MMS,5,5)</f>
        <v>0.1</v>
      </c>
      <c r="I63" s="16"/>
    </row>
    <row r="65" spans="1:16" ht="20.100000000000001" customHeight="1" x14ac:dyDescent="0.2">
      <c r="D65" s="118" t="s">
        <v>346</v>
      </c>
      <c r="G65" s="112"/>
    </row>
    <row r="66" spans="1:16" ht="20.100000000000001" customHeight="1" x14ac:dyDescent="0.2">
      <c r="D66" s="119" t="s">
        <v>347</v>
      </c>
    </row>
    <row r="67" spans="1:16" ht="20.100000000000001" customHeight="1" x14ac:dyDescent="0.2">
      <c r="D67" s="120" t="s">
        <v>297</v>
      </c>
      <c r="E67" s="120" t="s">
        <v>298</v>
      </c>
      <c r="F67" s="120" t="s">
        <v>299</v>
      </c>
      <c r="G67" s="120" t="s">
        <v>300</v>
      </c>
    </row>
    <row r="68" spans="1:16" ht="20.100000000000001" customHeight="1" x14ac:dyDescent="0.2">
      <c r="A68" s="79" t="str">
        <f>HYPERLINK("#A1", "▲ Back to top")</f>
        <v>▲ Back to top</v>
      </c>
      <c r="D68" s="15">
        <f>'Constants - Poultry'!$E$20</f>
        <v>0.39</v>
      </c>
      <c r="E68" s="15">
        <f>'Constants - Poultry'!$E$21</f>
        <v>0.36</v>
      </c>
      <c r="F68" s="15">
        <f>'Constants - Poultry'!$E$21</f>
        <v>0.36</v>
      </c>
      <c r="G68" s="15">
        <f>'Constants - Poultry'!$E$21</f>
        <v>0.36</v>
      </c>
      <c r="H68" s="16" t="str">
        <f>$G$51</f>
        <v>m3 CH4/kg VS</v>
      </c>
    </row>
    <row r="70" spans="1:16" ht="20.100000000000001" customHeight="1" x14ac:dyDescent="0.2">
      <c r="D70" s="124" t="s">
        <v>348</v>
      </c>
      <c r="N70" s="124" t="s">
        <v>348</v>
      </c>
    </row>
    <row r="71" spans="1:16" ht="20.100000000000001" customHeight="1" x14ac:dyDescent="0.2">
      <c r="D71" s="125" t="s">
        <v>349</v>
      </c>
      <c r="N71" s="125" t="s">
        <v>349</v>
      </c>
    </row>
    <row r="72" spans="1:16" ht="20.100000000000001" customHeight="1" x14ac:dyDescent="0.2">
      <c r="D72" s="120" t="s">
        <v>350</v>
      </c>
      <c r="E72" s="120" t="s">
        <v>351</v>
      </c>
      <c r="N72" s="120" t="s">
        <v>350</v>
      </c>
      <c r="O72" s="120" t="s">
        <v>351</v>
      </c>
    </row>
    <row r="73" spans="1:16" ht="20.100000000000001" customHeight="1" x14ac:dyDescent="0.2">
      <c r="D73" s="126" t="str">
        <f>'Constants - Poultry'!$D$29</f>
        <v>Poultry manure with bedding</v>
      </c>
      <c r="E73" s="15">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16" t="str">
        <f>$G$53</f>
        <v>fraction</v>
      </c>
      <c r="N73" s="126" t="str">
        <f>'Constants - Poultry'!$D$29</f>
        <v>Poultry manure with bedding</v>
      </c>
      <c r="O73" s="15">
        <f>Common_InputFunctions.Common_GetMCFTemperatureZone($S$54,N73,Table_SourceData_Common_MCFTemperatureZone[MAT (ºC)],Table_SourceData_Common_MCFTemperatureZone[#Headers],Table_SourceData_Common_MCFTemperatureZone[#Data])</f>
        <v>1.4999999999999999E-2</v>
      </c>
      <c r="P73" s="16" t="str">
        <f>$G$53</f>
        <v>fraction</v>
      </c>
    </row>
    <row r="74" spans="1:16" ht="20.100000000000001" customHeight="1" x14ac:dyDescent="0.2">
      <c r="D74" s="126" t="str">
        <f>'Constants - Poultry'!$D$30</f>
        <v>Belt manure removal</v>
      </c>
      <c r="E74" s="15">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126" t="str">
        <f>'Constants - Poultry'!$D$30</f>
        <v>Belt manure removal</v>
      </c>
      <c r="O74" s="15" t="s">
        <v>352</v>
      </c>
    </row>
    <row r="75" spans="1:16" ht="20.100000000000001" customHeight="1" x14ac:dyDescent="0.2">
      <c r="D75" s="126" t="str">
        <f>'Constants - Poultry'!$D$31</f>
        <v>Manure stored in house</v>
      </c>
      <c r="E75" s="15">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126" t="str">
        <f>'Constants - Poultry'!$D$31</f>
        <v>Manure stored in house</v>
      </c>
      <c r="O75" s="15" t="s">
        <v>352</v>
      </c>
    </row>
    <row r="76" spans="1:16" ht="20.100000000000001" customHeight="1" x14ac:dyDescent="0.2">
      <c r="D76" s="126" t="str">
        <f>'Constants - Poultry'!$D$32</f>
        <v>Pasture range and paddock</v>
      </c>
      <c r="E76" s="15">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126" t="str">
        <f>'Constants - Poultry'!$D$32</f>
        <v>Pasture range and paddock</v>
      </c>
      <c r="O76" s="15">
        <f>Common_InputFunctions.Common_GetMCFTemperatureZone($S$54,N76,Table_SourceData_Common_MCFTemperatureZone[MAT (ºC)],Table_SourceData_Common_MCFTemperatureZone[#Headers],Table_SourceData_Common_MCFTemperatureZone[#Data])</f>
        <v>4.7000000000000002E-3</v>
      </c>
    </row>
    <row r="77" spans="1:16" ht="20.100000000000001" customHeight="1" x14ac:dyDescent="0.2">
      <c r="D77" s="126" t="str">
        <f>'Constants - Poultry'!$D$33</f>
        <v>Solid storage</v>
      </c>
      <c r="E77" s="15">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126" t="str">
        <f>'Constants - Poultry'!$D$33</f>
        <v>Solid storage</v>
      </c>
      <c r="O77" s="15">
        <f>Common_InputFunctions.Common_GetMCFTemperatureZone($S$54,N77,Table_SourceData_Common_MCFTemperatureZone[MAT (ºC)],Table_SourceData_Common_MCFTemperatureZone[#Headers],Table_SourceData_Common_MCFTemperatureZone[#Data])</f>
        <v>0.02</v>
      </c>
    </row>
    <row r="78" spans="1:16" ht="20.100000000000001" customHeight="1" x14ac:dyDescent="0.2">
      <c r="D78" s="126" t="str">
        <f>'Constants - Poultry'!$D$34</f>
        <v>Composting (passive windrow)</v>
      </c>
      <c r="E78" s="15">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126" t="str">
        <f>'Constants - Poultry'!$D$34</f>
        <v>Composting (passive windrow)</v>
      </c>
      <c r="O78" s="15">
        <f>Common_InputFunctions.Common_GetMCFTemperatureZone($S$54,N78,Table_SourceData_Common_MCFTemperatureZone[MAT (ºC)],Table_SourceData_Common_MCFTemperatureZone[#Headers],Table_SourceData_Common_MCFTemperatureZone[#Data])</f>
        <v>5.0000000000000001E-3</v>
      </c>
    </row>
    <row r="79" spans="1:16" ht="20.100000000000001" customHeight="1" x14ac:dyDescent="0.2">
      <c r="D79" s="126" t="str">
        <f>'Constants - Poultry'!$D$35</f>
        <v>Digester / covered lagoons</v>
      </c>
      <c r="E79" s="15">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126" t="str">
        <f>'Constants - Poultry'!$D$35</f>
        <v>Digester / covered lagoons</v>
      </c>
      <c r="O79" s="15">
        <f>Common_InputFunctions.Common_GetMCFTemperatureZone($S$54,N79,Table_SourceData_Common_MCFTemperatureZone[MAT (ºC)],Table_SourceData_Common_MCFTemperatureZone[#Headers],Table_SourceData_Common_MCFTemperatureZone[#Data])</f>
        <v>0.1</v>
      </c>
    </row>
    <row r="80" spans="1:16" ht="20.100000000000001" customHeight="1" x14ac:dyDescent="0.2">
      <c r="D80" s="126" t="str">
        <f>'Constants - Poultry'!$D$36</f>
        <v>Direct processing</v>
      </c>
      <c r="E80" s="15">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126" t="str">
        <f>'Constants - Poultry'!$D$36</f>
        <v>Direct processing</v>
      </c>
      <c r="O80" s="15">
        <f>Common_InputFunctions.Common_GetMCFTemperatureZone($S$54,N80,Table_SourceData_Common_MCFTemperatureZone[MAT (ºC)],Table_SourceData_Common_MCFTemperatureZone[#Headers],Table_SourceData_Common_MCFTemperatureZone[#Data])</f>
        <v>0</v>
      </c>
    </row>
    <row r="81" spans="3:21" ht="20.100000000000001" customHeight="1" x14ac:dyDescent="0.2">
      <c r="D81" s="126" t="str">
        <f>'Constants - Poultry'!$D$37</f>
        <v>Direct application</v>
      </c>
      <c r="E81" s="15">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126" t="str">
        <f>'Constants - Poultry'!$D$37</f>
        <v>Direct application</v>
      </c>
      <c r="O81" s="15">
        <f>Common_InputFunctions.Common_GetMCFTemperatureZone($S$54,N81,Table_SourceData_Common_MCFTemperatureZone[MAT (ºC)],Table_SourceData_Common_MCFTemperatureZone[#Headers],Table_SourceData_Common_MCFTemperatureZone[#Data])</f>
        <v>0</v>
      </c>
    </row>
    <row r="83" spans="3:21" ht="20.100000000000001" customHeight="1" x14ac:dyDescent="0.2">
      <c r="D83" s="118" t="s">
        <v>353</v>
      </c>
      <c r="N83" s="118" t="s">
        <v>354</v>
      </c>
    </row>
    <row r="84" spans="3:21" ht="20.100000000000001" customHeight="1" x14ac:dyDescent="0.2">
      <c r="D84" s="119" t="s">
        <v>355</v>
      </c>
      <c r="N84" s="119" t="s">
        <v>356</v>
      </c>
    </row>
    <row r="85" spans="3:21" ht="20.100000000000001" customHeight="1" x14ac:dyDescent="0.2">
      <c r="D85" s="120" t="s">
        <v>314</v>
      </c>
      <c r="E85" s="120" t="s">
        <v>297</v>
      </c>
      <c r="F85" s="120" t="s">
        <v>298</v>
      </c>
      <c r="G85" s="120" t="s">
        <v>299</v>
      </c>
      <c r="H85" s="120" t="s">
        <v>300</v>
      </c>
      <c r="N85" s="120" t="s">
        <v>314</v>
      </c>
      <c r="O85" s="120" t="s">
        <v>297</v>
      </c>
      <c r="P85" s="120" t="s">
        <v>298</v>
      </c>
      <c r="Q85" s="120" t="s">
        <v>299</v>
      </c>
      <c r="R85" s="120" t="s">
        <v>300</v>
      </c>
    </row>
    <row r="86" spans="3:21" ht="20.100000000000001" customHeight="1" x14ac:dyDescent="0.2">
      <c r="D86" s="15" t="str">
        <f>INDEX(X_Table_Poultry_Stage1MMS,2,1)</f>
        <v>Poultry manure with bedding</v>
      </c>
      <c r="E86" s="15" cm="1">
        <f t="array" ref="E86">MMS_Poultry_Methane_Equations.VEERG_4_6_1_1__2_Stage1MethaneProduction(D$35,D$68,E60,_xlfn.XLOOKUP($D86,$D$73:$D$81,$E$73:$E$81),$I$54)</f>
        <v>1.6792109567999992E-5</v>
      </c>
      <c r="F86" s="15" cm="1">
        <f t="array" ref="F86">MMS_Poultry_Methane_Equations.VEERG_4_6_1_1__2_Stage1MethaneProduction(E$35,E$68,F60,_xlfn.XLOOKUP($D86,$D$73:$D$81,$E$73:$E$81),$I$54)</f>
        <v>1.7375316479999991E-5</v>
      </c>
      <c r="G86" s="15" cm="1">
        <f t="array" ref="G86">MMS_Poultry_Methane_Equations.VEERG_4_6_1_1__2_Stage1MethaneProduction(F$35,F$68,G60,_xlfn.XLOOKUP($D86,$D$73:$D$81,$E$73:$E$81),$I$54)</f>
        <v>1.8564443135999995E-5</v>
      </c>
      <c r="H86" s="15" cm="1">
        <f t="array" ref="H86">MMS_Poultry_Methane_Equations.VEERG_4_6_1_1__2_Stage1MethaneProduction(G$35,G$68,H60,_xlfn.XLOOKUP($D86,$D$73:$D$81,$E$73:$E$81),$I$54)</f>
        <v>1.7375316479999991E-5</v>
      </c>
      <c r="I86" s="16" t="str">
        <f>$E$48</f>
        <v>kg CH4/bird/day</v>
      </c>
      <c r="N86" s="15" t="str">
        <f>INDEX(X_Table_Poultry_Stage1MMS,2,1)</f>
        <v>Poultry manure with bedding</v>
      </c>
      <c r="O86" s="15" cm="1">
        <f t="array" ref="O86">MMS_Poultry_Methane_Equations.VEERG_4_6_1_1__2_Stage1MethaneProduction(N$35,D$68,E60,_xlfn.XLOOKUP($N86,$N$73:$N$81,$O$73:$O$81),$I$54)</f>
        <v>1.6792109567999992E-5</v>
      </c>
      <c r="P86" s="15" cm="1">
        <f t="array" ref="P86">MMS_Poultry_Methane_Equations.VEERG_4_6_1_1__2_Stage1MethaneProduction(O$35,E$68,F60,_xlfn.XLOOKUP($N86,$N$73:$N$81,$O$73:$O$81),$I$54)</f>
        <v>1.7375316479999991E-5</v>
      </c>
      <c r="Q86" s="15" cm="1">
        <f t="array" ref="Q86">MMS_Poultry_Methane_Equations.VEERG_4_6_1_1__2_Stage1MethaneProduction(P$35,F$68,G60,_xlfn.XLOOKUP($N86,$N$73:$N$81,$O$73:$O$81),$I$54)</f>
        <v>1.8564443135999995E-5</v>
      </c>
      <c r="R86" s="15" cm="1">
        <f t="array" ref="R86">MMS_Poultry_Methane_Equations.VEERG_4_6_1_1__2_Stage1MethaneProduction(Q$35,G$68,H60,_xlfn.XLOOKUP($N86,$N$73:$N$81,$O$73:$O$81),$I$54)</f>
        <v>1.7375316479999991E-5</v>
      </c>
      <c r="S86" s="16" t="str">
        <f>$E$48</f>
        <v>kg CH4/bird/day</v>
      </c>
    </row>
    <row r="87" spans="3:21" ht="20.100000000000001" customHeight="1" x14ac:dyDescent="0.2">
      <c r="D87" s="15" t="str">
        <f>INDEX(X_Table_Poultry_Stage1MMS,3,1)</f>
        <v>Belt manure removal</v>
      </c>
      <c r="E87" s="15" cm="1">
        <f t="array" ref="E87">MMS_Poultry_Methane_Equations.VEERG_4_6_1_1__2_Stage1MethaneProduction(D$35,D$68,E61,_xlfn.XLOOKUP($D87,$D$73:$D$81,$E$73:$E$81),$I$54)</f>
        <v>1.6792109567999992E-5</v>
      </c>
      <c r="F87" s="15" cm="1">
        <f t="array" ref="F87">MMS_Poultry_Methane_Equations.VEERG_4_6_1_1__2_Stage1MethaneProduction(E$35,E$68,F61,_xlfn.XLOOKUP($D87,$D$73:$D$81,$E$73:$E$81),$I$54)</f>
        <v>1.7375316479999991E-5</v>
      </c>
      <c r="G87" s="15" cm="1">
        <f t="array" ref="G87">MMS_Poultry_Methane_Equations.VEERG_4_6_1_1__2_Stage1MethaneProduction(F$35,F$68,G61,_xlfn.XLOOKUP($D87,$D$73:$D$81,$E$73:$E$81),$I$54)</f>
        <v>1.8564443135999995E-5</v>
      </c>
      <c r="H87" s="15" cm="1">
        <f t="array" ref="H87">MMS_Poultry_Methane_Equations.VEERG_4_6_1_1__2_Stage1MethaneProduction(G$35,G$68,H61,_xlfn.XLOOKUP($D87,$D$73:$D$81,$E$73:$E$81),$I$54)</f>
        <v>1.7375316479999991E-5</v>
      </c>
      <c r="I87" s="16"/>
      <c r="N87" s="15" t="str">
        <f>INDEX(X_Table_Poultry_Stage1MMS,3,1)</f>
        <v>Belt manure removal</v>
      </c>
      <c r="O87" s="15" cm="1">
        <f t="array" ref="O87">MMS_Poultry_Methane_Equations.VEERG_4_6_1_1__2_Stage1MethaneProduction(N$35,D$68,E61,_xlfn.XLOOKUP($N87,$D$73:$D$81,$E$73:$E$81),$I$54)</f>
        <v>1.6792109567999992E-5</v>
      </c>
      <c r="P87" s="15" cm="1">
        <f t="array" ref="P87">MMS_Poultry_Methane_Equations.VEERG_4_6_1_1__2_Stage1MethaneProduction(O$35,E$68,F61,_xlfn.XLOOKUP($N87,$D$73:$D$81,$E$73:$E$81),$I$54)</f>
        <v>1.7375316479999991E-5</v>
      </c>
      <c r="Q87" s="15" cm="1">
        <f t="array" ref="Q87">MMS_Poultry_Methane_Equations.VEERG_4_6_1_1__2_Stage1MethaneProduction(P$35,F$68,G61,_xlfn.XLOOKUP($N87,$D$73:$D$81,$E$73:$E$81),$I$54)</f>
        <v>1.8564443135999995E-5</v>
      </c>
      <c r="R87" s="15" cm="1">
        <f t="array" ref="R87">MMS_Poultry_Methane_Equations.VEERG_4_6_1_1__2_Stage1MethaneProduction(Q$35,G$68,H61,_xlfn.XLOOKUP($N87,$D$73:$D$81,$E$73:$E$81),$I$54)</f>
        <v>1.7375316479999991E-5</v>
      </c>
      <c r="S87" s="16"/>
    </row>
    <row r="88" spans="3:21" ht="20.100000000000001" customHeight="1" x14ac:dyDescent="0.2">
      <c r="D88" s="15" t="str">
        <f>INDEX(X_Table_Poultry_Stage1MMS,4,1)</f>
        <v>Manure stored in house</v>
      </c>
      <c r="E88" s="15" cm="1">
        <f t="array" ref="E88">MMS_Poultry_Methane_Equations.VEERG_4_6_1_1__2_Stage1MethaneProduction(D$35,D$68,E62,_xlfn.XLOOKUP($D88,$D$73:$D$81,$E$73:$E$81),$I$54)</f>
        <v>1.6792109567999992E-5</v>
      </c>
      <c r="F88" s="15" cm="1">
        <f t="array" ref="F88">MMS_Poultry_Methane_Equations.VEERG_4_6_1_1__2_Stage1MethaneProduction(E$35,E$68,F62,_xlfn.XLOOKUP($D88,$D$73:$D$81,$E$73:$E$81),$I$54)</f>
        <v>1.7375316479999991E-5</v>
      </c>
      <c r="G88" s="15" cm="1">
        <f t="array" ref="G88">MMS_Poultry_Methane_Equations.VEERG_4_6_1_1__2_Stage1MethaneProduction(F$35,F$68,G62,_xlfn.XLOOKUP($D88,$D$73:$D$81,$E$73:$E$81),$I$54)</f>
        <v>1.8564443135999995E-5</v>
      </c>
      <c r="H88" s="15" cm="1">
        <f t="array" ref="H88">MMS_Poultry_Methane_Equations.VEERG_4_6_1_1__2_Stage1MethaneProduction(G$35,G$68,H62,_xlfn.XLOOKUP($D88,$D$73:$D$81,$E$73:$E$81),$I$54)</f>
        <v>1.7375316479999991E-5</v>
      </c>
      <c r="I88" s="16"/>
      <c r="N88" s="15" t="str">
        <f>INDEX(X_Table_Poultry_Stage1MMS,4,1)</f>
        <v>Manure stored in house</v>
      </c>
      <c r="O88" s="15" cm="1">
        <f t="array" ref="O88">MMS_Poultry_Methane_Equations.VEERG_4_6_1_1__2_Stage1MethaneProduction(N$35,D$68,E62,_xlfn.XLOOKUP($N88,$D$73:$D$81,$E$73:$E$81),$I$54)</f>
        <v>1.6792109567999992E-5</v>
      </c>
      <c r="P88" s="15" cm="1">
        <f t="array" ref="P88">MMS_Poultry_Methane_Equations.VEERG_4_6_1_1__2_Stage1MethaneProduction(O$35,E$68,F62,_xlfn.XLOOKUP($N88,$D$73:$D$81,$E$73:$E$81),$I$54)</f>
        <v>1.7375316479999991E-5</v>
      </c>
      <c r="Q88" s="15" cm="1">
        <f t="array" ref="Q88">MMS_Poultry_Methane_Equations.VEERG_4_6_1_1__2_Stage1MethaneProduction(P$35,F$68,G62,_xlfn.XLOOKUP($N88,$D$73:$D$81,$E$73:$E$81),$I$54)</f>
        <v>1.8564443135999995E-5</v>
      </c>
      <c r="R88" s="15" cm="1">
        <f t="array" ref="R88">MMS_Poultry_Methane_Equations.VEERG_4_6_1_1__2_Stage1MethaneProduction(Q$35,G$68,H62,_xlfn.XLOOKUP($N88,$D$73:$D$81,$E$73:$E$81),$I$54)</f>
        <v>1.7375316479999991E-5</v>
      </c>
      <c r="S88" s="16"/>
    </row>
    <row r="89" spans="3:21" ht="20.100000000000001" customHeight="1" x14ac:dyDescent="0.2">
      <c r="D89" s="15" t="str">
        <f>INDEX(X_Table_Poultry_Stage1MMS,5,1)</f>
        <v>Pasture range and paddock</v>
      </c>
      <c r="E89" s="15" cm="1">
        <f t="array" ref="E89">MMS_Poultry_Methane_Equations.VEERG_4_6_1_1__2_Stage1MethaneProduction(D$35,D$68,E63,_xlfn.XLOOKUP($D89,$D$73:$D$81,$E$73:$E$81),$I$54)</f>
        <v>3.7315799039999991E-6</v>
      </c>
      <c r="F89" s="15" cm="1">
        <f t="array" ref="F89">MMS_Poultry_Methane_Equations.VEERG_4_6_1_1__2_Stage1MethaneProduction(E$35,E$68,F63,_xlfn.XLOOKUP($D89,$D$73:$D$81,$E$73:$E$81),$I$54)</f>
        <v>3.8611814399999991E-6</v>
      </c>
      <c r="G89" s="15" cm="1">
        <f t="array" ref="G89">MMS_Poultry_Methane_Equations.VEERG_4_6_1_1__2_Stage1MethaneProduction(F$35,F$68,G63,_xlfn.XLOOKUP($D89,$D$73:$D$81,$E$73:$E$81),$I$54)</f>
        <v>4.1254318079999997E-6</v>
      </c>
      <c r="H89" s="15" cm="1">
        <f t="array" ref="H89">MMS_Poultry_Methane_Equations.VEERG_4_6_1_1__2_Stage1MethaneProduction(G$35,G$68,H63,_xlfn.XLOOKUP($D89,$D$73:$D$81,$E$73:$E$81),$I$54)</f>
        <v>3.8611814399999991E-6</v>
      </c>
      <c r="I89" s="16"/>
      <c r="N89" s="15" t="str">
        <f>INDEX(X_Table_Poultry_Stage1MMS,5,1)</f>
        <v>Pasture range and paddock</v>
      </c>
      <c r="O89" s="15" cm="1">
        <f t="array" ref="O89">MMS_Poultry_Methane_Equations.VEERG_4_6_1_1__2_Stage1MethaneProduction(N$35,D$68,E63,_xlfn.XLOOKUP($N89,$N$73:$N$81,$O$73:$O$81),$I$54)</f>
        <v>1.7538425548799995E-6</v>
      </c>
      <c r="P89" s="15" cm="1">
        <f t="array" ref="P89">MMS_Poultry_Methane_Equations.VEERG_4_6_1_1__2_Stage1MethaneProduction(O$35,E$68,F63,_xlfn.XLOOKUP($N89,$N$73:$N$81,$O$73:$O$81),$I$54)</f>
        <v>1.8147552767999997E-6</v>
      </c>
      <c r="Q89" s="15" cm="1">
        <f t="array" ref="Q89">MMS_Poultry_Methane_Equations.VEERG_4_6_1_1__2_Stage1MethaneProduction(P$35,F$68,G63,_xlfn.XLOOKUP($N89,$N$73:$N$81,$O$73:$O$81),$I$54)</f>
        <v>1.9389529497599998E-6</v>
      </c>
      <c r="R89" s="15" cm="1">
        <f t="array" ref="R89">MMS_Poultry_Methane_Equations.VEERG_4_6_1_1__2_Stage1MethaneProduction(Q$35,G$68,H63,_xlfn.XLOOKUP($N89,$N$73:$N$81,$O$73:$O$81),$I$54)</f>
        <v>1.8147552767999997E-6</v>
      </c>
      <c r="S89" s="16"/>
    </row>
    <row r="92" spans="3:21" ht="20.100000000000001" customHeight="1" x14ac:dyDescent="0.2">
      <c r="C92" s="83"/>
      <c r="D92" s="83"/>
      <c r="E92" s="83"/>
      <c r="F92" s="83"/>
      <c r="G92" s="83"/>
      <c r="H92" s="83"/>
      <c r="I92" s="83"/>
      <c r="J92" s="83"/>
      <c r="K92" s="83"/>
      <c r="M92" s="83"/>
      <c r="N92" s="83"/>
      <c r="O92" s="83"/>
      <c r="P92" s="83"/>
      <c r="Q92" s="83"/>
      <c r="R92" s="83"/>
      <c r="S92" s="83"/>
      <c r="T92" s="83"/>
      <c r="U92" s="83"/>
    </row>
    <row r="93" spans="3:21" ht="20.100000000000001" customHeight="1" x14ac:dyDescent="0.2">
      <c r="D93" s="2" t="str" cm="1">
        <f t="array" ref="D93">MMS_Poultry_Methane_Equations.VEERG_4_6_1_1__4_VolatileSolidsTransferred_Title()</f>
        <v>Volatile solids transferred to treatment stage 2 MMS</v>
      </c>
    </row>
    <row r="94" spans="3:21" ht="20.100000000000001" customHeight="1" x14ac:dyDescent="0.2">
      <c r="D94" s="17" t="str" cm="1">
        <f t="array" ref="D94">MMS_Poultry_Methane_Equations.VEERG_4_6_1_1__4_VolatileSolidsTransferred_Source()</f>
        <v>VEERG 2026: 4.4.1.1, Equation (4)</v>
      </c>
    </row>
    <row r="95" spans="3:21" ht="20.100000000000001" customHeight="1" x14ac:dyDescent="0.2">
      <c r="D95" s="112" t="s">
        <v>328</v>
      </c>
      <c r="E95" s="112" t="str" cm="1">
        <f t="array" aca="1" ref="E95" ca="1">Common_InputFunctions.Utility_DisplayFunctionName(E115)</f>
        <v>=MMS_Poultry_Methane_Equations.VEERG_4_6_1_1__4_VolatileSolidsTransferred</v>
      </c>
    </row>
    <row r="98" spans="1:14" ht="20.100000000000001" customHeight="1" x14ac:dyDescent="0.2">
      <c r="A98" s="79" t="str">
        <f>HYPERLINK("#A1", "▲ Back to top")</f>
        <v>▲ Back to top</v>
      </c>
      <c r="D98" s="75" t="s">
        <v>329</v>
      </c>
      <c r="E98" s="1" t="str" cm="1">
        <f t="array" ref="E98">MMS_Poultry_Methane_Equations.VEERG_4_6_1_1__4_VolatileSolidsTransferred_Variable()</f>
        <v>VST_jk</v>
      </c>
    </row>
    <row r="99" spans="1:14" ht="20.100000000000001" customHeight="1" x14ac:dyDescent="0.2">
      <c r="D99" s="75" t="s">
        <v>118</v>
      </c>
      <c r="E99" s="9" t="str" cm="1">
        <f t="array" ref="E99">MMS_Poultry_Methane_Equations.VEERG_4_6_1_1__4_VolatileSolidsTransferred_Unit()</f>
        <v>kg VS/bird/day</v>
      </c>
    </row>
    <row r="101" spans="1:14" ht="20.100000000000001" customHeight="1" x14ac:dyDescent="0.2">
      <c r="D101" s="113" t="str" cm="1">
        <f t="array" ref="D101:E103">_xlfn.CHOOSECOLS(MMS_Poultry_Methane_Equations.VEERG_4_6_1_1__4_VolatileSolidsTransferred_Arguments(),1,2)</f>
        <v>VS_jk</v>
      </c>
      <c r="E101" s="122" t="str">
        <v>volatile solid production poultry classes</v>
      </c>
      <c r="F101" s="123"/>
      <c r="G101" s="113" t="str" cm="1">
        <f t="array" ref="G101:H103">_xlfn.CHOOSECOLS(MMS_Poultry_Methane_Equations.VEERG_4_6_1_1__4_VolatileSolidsTransferred_Arguments(),3,4)</f>
        <v>kg VS/bird/day</v>
      </c>
      <c r="H101" s="115" t="str">
        <v>Calculated from 4.6.1.1 (5)</v>
      </c>
      <c r="I101" s="116" t="str" cm="1">
        <f t="array" aca="1" ref="I101" ca="1">HYPERLINK(Common_InputFunctions.Utility_SourceHyperlink($D$32), $D$32)</f>
        <v>M1_Table_VS_j_k</v>
      </c>
    </row>
    <row r="102" spans="1:14" ht="20.100000000000001" customHeight="1" x14ac:dyDescent="0.2">
      <c r="D102" s="113" t="str">
        <v>MMS_jmT1</v>
      </c>
      <c r="E102" s="122" t="str">
        <v>fraction of manure in each primary system</v>
      </c>
      <c r="F102" s="123"/>
      <c r="G102" s="113" t="str">
        <v>fraction</v>
      </c>
      <c r="H102" s="114" t="str">
        <v>Input</v>
      </c>
      <c r="I102" s="116" t="str" cm="1">
        <f t="array" aca="1" ref="I102" ca="1">HYPERLINK(Common_InputFunctions.Utility_SourceHyperlink($D$57), $D$57)</f>
        <v>Table_MMS_j_m_T-1</v>
      </c>
    </row>
    <row r="103" spans="1:14" ht="20.100000000000001" customHeight="1" x14ac:dyDescent="0.2">
      <c r="D103" s="113" t="str">
        <v>VSL_mT1</v>
      </c>
      <c r="E103" s="122" t="str">
        <v>fraction of volatile solids lost during storage in the primary system</v>
      </c>
      <c r="F103" s="123"/>
      <c r="G103" s="113" t="str">
        <v>fraction</v>
      </c>
      <c r="H103" s="115" t="str">
        <v>Constant</v>
      </c>
      <c r="I103" s="116" t="str" cm="1">
        <f t="array" aca="1" ref="I103" ca="1">HYPERLINK(Common_InputFunctions.Utility_SourceHyperlink($D$105), $D$105)</f>
        <v>Table_VSL_m_T-1</v>
      </c>
    </row>
    <row r="105" spans="1:14" ht="20.100000000000001" customHeight="1" x14ac:dyDescent="0.2">
      <c r="D105" s="127" t="s">
        <v>357</v>
      </c>
    </row>
    <row r="106" spans="1:14" ht="20.100000000000001" customHeight="1" x14ac:dyDescent="0.2">
      <c r="D106" s="128" t="s">
        <v>358</v>
      </c>
    </row>
    <row r="107" spans="1:14" ht="20.100000000000001" customHeight="1" x14ac:dyDescent="0.2">
      <c r="D107" s="120" t="s">
        <v>314</v>
      </c>
      <c r="E107" s="120" t="s">
        <v>359</v>
      </c>
    </row>
    <row r="108" spans="1:14" ht="20.100000000000001" customHeight="1" x14ac:dyDescent="0.2">
      <c r="D108" s="15" t="str">
        <f>INDEX(X_Table_Poultry_Stage1MMS,2,1)</f>
        <v>Poultry manure with bedding</v>
      </c>
      <c r="E108" s="15" cm="1">
        <f t="array" ref="E108">Common_InputFunctions.Utility_LookupValueInTableNumber(D108, Table_SourceData_Poultry_MMSVSL[NIR definition],Table_SourceData_Poultry_MMSVSL[VSL])</f>
        <v>0.15</v>
      </c>
      <c r="F108" s="16" t="str">
        <f>$G$103</f>
        <v>fraction</v>
      </c>
    </row>
    <row r="109" spans="1:14" ht="20.100000000000001" customHeight="1" x14ac:dyDescent="0.2">
      <c r="D109" s="15" t="str">
        <f>INDEX(X_Table_Poultry_Stage1MMS,3,1)</f>
        <v>Belt manure removal</v>
      </c>
      <c r="E109" s="15" cm="1">
        <f t="array" ref="E109">Common_InputFunctions.Utility_LookupValueInTableNumber(D109, Table_SourceData_Poultry_MMSVSL[NIR definition],Table_SourceData_Poultry_MMSVSL[VSL])</f>
        <v>0</v>
      </c>
      <c r="F109" s="16"/>
    </row>
    <row r="110" spans="1:14" ht="20.100000000000001" customHeight="1" x14ac:dyDescent="0.2">
      <c r="D110" s="15" t="str">
        <f>INDEX(X_Table_Poultry_Stage1MMS,4,1)</f>
        <v>Manure stored in house</v>
      </c>
      <c r="E110" s="15" cm="1">
        <f t="array" ref="E110">Common_InputFunctions.Utility_LookupValueInTableNumber(D110, Table_SourceData_Poultry_MMSVSL[NIR definition],Table_SourceData_Poultry_MMSVSL[VSL])</f>
        <v>0.2</v>
      </c>
      <c r="F110" s="16"/>
    </row>
    <row r="111" spans="1:14" ht="20.100000000000001" customHeight="1" x14ac:dyDescent="0.2">
      <c r="F111" s="16"/>
    </row>
    <row r="112" spans="1:14" ht="20.100000000000001" customHeight="1" x14ac:dyDescent="0.2">
      <c r="D112" s="118" t="s">
        <v>360</v>
      </c>
      <c r="N112" s="118" t="s">
        <v>361</v>
      </c>
    </row>
    <row r="113" spans="1:21" ht="20.100000000000001" customHeight="1" x14ac:dyDescent="0.2">
      <c r="D113" s="119" t="s">
        <v>362</v>
      </c>
      <c r="N113" s="119" t="s">
        <v>363</v>
      </c>
    </row>
    <row r="114" spans="1:21" ht="20.100000000000001" customHeight="1" x14ac:dyDescent="0.2">
      <c r="D114" s="120" t="s">
        <v>314</v>
      </c>
      <c r="E114" s="120" t="s">
        <v>297</v>
      </c>
      <c r="F114" s="120" t="s">
        <v>298</v>
      </c>
      <c r="G114" s="120" t="s">
        <v>299</v>
      </c>
      <c r="H114" s="120" t="s">
        <v>300</v>
      </c>
      <c r="N114" s="120" t="s">
        <v>314</v>
      </c>
      <c r="O114" s="120" t="s">
        <v>297</v>
      </c>
      <c r="P114" s="120" t="s">
        <v>298</v>
      </c>
      <c r="Q114" s="120" t="s">
        <v>299</v>
      </c>
      <c r="R114" s="120" t="s">
        <v>300</v>
      </c>
    </row>
    <row r="115" spans="1:21" ht="20.100000000000001" customHeight="1" x14ac:dyDescent="0.2">
      <c r="D115" s="15" t="str">
        <f>INDEX(X_Table_Poultry_Stage1MMS,2,1)</f>
        <v>Poultry manure with bedding</v>
      </c>
      <c r="E115" s="15" cm="1">
        <f t="array" ref="E115">MMS_Poultry_Methane_Equations.VEERG_4_6_1_1__4_VolatileSolidsTransferred(D$35,E60,_xlfn.XLOOKUP($D115,$D$108:$D$110,$E$108:$E$110))</f>
        <v>3.5965199999999985E-3</v>
      </c>
      <c r="F115" s="15" cm="1">
        <f t="array" ref="F115">MMS_Poultry_Methane_Equations.VEERG_4_6_1_1__4_VolatileSolidsTransferred(E$35,F60,_xlfn.XLOOKUP($D115,$D$108:$D$110,$E$108:$E$110))</f>
        <v>4.0315499999999983E-3</v>
      </c>
      <c r="G115" s="15" cm="1">
        <f t="array" ref="G115">MMS_Poultry_Methane_Equations.VEERG_4_6_1_1__4_VolatileSolidsTransferred(F$35,G60,_xlfn.XLOOKUP($D115,$D$108:$D$110,$E$108:$E$110))</f>
        <v>4.3074599999999991E-3</v>
      </c>
      <c r="H115" s="15" cm="1">
        <f t="array" ref="H115">MMS_Poultry_Methane_Equations.VEERG_4_6_1_1__4_VolatileSolidsTransferred(G$35,H60,_xlfn.XLOOKUP($D115,$D$108:$D$110,$E$108:$E$110))</f>
        <v>4.0315499999999983E-3</v>
      </c>
      <c r="I115" s="16" t="str">
        <f>$E$99</f>
        <v>kg VS/bird/day</v>
      </c>
      <c r="N115" s="15" t="str">
        <f>INDEX(X_Table_Poultry_Stage1MMS,2,1)</f>
        <v>Poultry manure with bedding</v>
      </c>
      <c r="O115" s="15" cm="1">
        <f t="array" ref="O115">MMS_Poultry_Methane_Equations.VEERG_4_6_1_1__4_VolatileSolidsTransferred(N$35,E60,_xlfn.XLOOKUP($N115,$D$108:$D$110,$E$108:$E$110))</f>
        <v>3.5965199999999985E-3</v>
      </c>
      <c r="P115" s="15" cm="1">
        <f t="array" ref="P115">MMS_Poultry_Methane_Equations.VEERG_4_6_1_1__4_VolatileSolidsTransferred(O$35,F60,_xlfn.XLOOKUP($N115,$D$108:$D$110,$E$108:$E$110))</f>
        <v>4.0315499999999983E-3</v>
      </c>
      <c r="Q115" s="15" cm="1">
        <f t="array" ref="Q115">MMS_Poultry_Methane_Equations.VEERG_4_6_1_1__4_VolatileSolidsTransferred(P$35,G60,_xlfn.XLOOKUP($N115,$D$108:$D$110,$E$108:$E$110))</f>
        <v>4.3074599999999991E-3</v>
      </c>
      <c r="R115" s="15" cm="1">
        <f t="array" ref="R115">MMS_Poultry_Methane_Equations.VEERG_4_6_1_1__4_VolatileSolidsTransferred(Q$35,H60,_xlfn.XLOOKUP($N115,$D$108:$D$110,$E$108:$E$110))</f>
        <v>4.0315499999999983E-3</v>
      </c>
      <c r="S115" s="16" t="str">
        <f>$E$99</f>
        <v>kg VS/bird/day</v>
      </c>
    </row>
    <row r="116" spans="1:21" ht="20.100000000000001" customHeight="1" x14ac:dyDescent="0.2">
      <c r="D116" s="15" t="str">
        <f>INDEX(X_Table_Poultry_Stage1MMS,3,1)</f>
        <v>Belt manure removal</v>
      </c>
      <c r="E116" s="15" cm="1">
        <f t="array" ref="E116">MMS_Poultry_Methane_Equations.VEERG_4_6_1_1__4_VolatileSolidsTransferred(D$35,E61,_xlfn.XLOOKUP($D116,$D$108:$D$110,$E$108:$E$110))</f>
        <v>4.2311999999999983E-3</v>
      </c>
      <c r="F116" s="15" cm="1">
        <f t="array" ref="F116">MMS_Poultry_Methane_Equations.VEERG_4_6_1_1__4_VolatileSolidsTransferred(E$35,F61,_xlfn.XLOOKUP($D116,$D$108:$D$110,$E$108:$E$110))</f>
        <v>4.7429999999999981E-3</v>
      </c>
      <c r="G116" s="15" cm="1">
        <f t="array" ref="G116">MMS_Poultry_Methane_Equations.VEERG_4_6_1_1__4_VolatileSolidsTransferred(F$35,G61,_xlfn.XLOOKUP($D116,$D$108:$D$110,$E$108:$E$110))</f>
        <v>5.0675999999999994E-3</v>
      </c>
      <c r="H116" s="15" cm="1">
        <f t="array" ref="H116">MMS_Poultry_Methane_Equations.VEERG_4_6_1_1__4_VolatileSolidsTransferred(G$35,H61,_xlfn.XLOOKUP($D116,$D$108:$D$110,$E$108:$E$110))</f>
        <v>4.7429999999999981E-3</v>
      </c>
      <c r="I116" s="16"/>
      <c r="N116" s="15" t="str">
        <f>INDEX(X_Table_Poultry_Stage1MMS,3,1)</f>
        <v>Belt manure removal</v>
      </c>
      <c r="O116" s="15" cm="1">
        <f t="array" ref="O116">MMS_Poultry_Methane_Equations.VEERG_4_6_1_1__4_VolatileSolidsTransferred(N$35,E61,_xlfn.XLOOKUP($N116,$D$108:$D$110,$E$108:$E$110))</f>
        <v>4.2311999999999983E-3</v>
      </c>
      <c r="P116" s="15" cm="1">
        <f t="array" ref="P116">MMS_Poultry_Methane_Equations.VEERG_4_6_1_1__4_VolatileSolidsTransferred(O$35,F61,_xlfn.XLOOKUP($N116,$D$108:$D$110,$E$108:$E$110))</f>
        <v>4.7429999999999981E-3</v>
      </c>
      <c r="Q116" s="15" cm="1">
        <f t="array" ref="Q116">MMS_Poultry_Methane_Equations.VEERG_4_6_1_1__4_VolatileSolidsTransferred(P$35,G61,_xlfn.XLOOKUP($N116,$D$108:$D$110,$E$108:$E$110))</f>
        <v>5.0675999999999994E-3</v>
      </c>
      <c r="R116" s="15" cm="1">
        <f t="array" ref="R116">MMS_Poultry_Methane_Equations.VEERG_4_6_1_1__4_VolatileSolidsTransferred(Q$35,H61,_xlfn.XLOOKUP($N116,$D$108:$D$110,$E$108:$E$110))</f>
        <v>4.7429999999999981E-3</v>
      </c>
      <c r="S116" s="16"/>
    </row>
    <row r="117" spans="1:21" ht="20.100000000000001" customHeight="1" x14ac:dyDescent="0.2">
      <c r="D117" s="15" t="str">
        <f>INDEX(X_Table_Poultry_Stage1MMS,4,1)</f>
        <v>Manure stored in house</v>
      </c>
      <c r="E117" s="15" cm="1">
        <f t="array" ref="E117">MMS_Poultry_Methane_Equations.VEERG_4_6_1_1__4_VolatileSolidsTransferred(D$35,E62,_xlfn.XLOOKUP($D117,$D$108:$D$110,$E$108:$E$110))</f>
        <v>3.3849599999999989E-3</v>
      </c>
      <c r="F117" s="15" cm="1">
        <f t="array" ref="F117">MMS_Poultry_Methane_Equations.VEERG_4_6_1_1__4_VolatileSolidsTransferred(E$35,F62,_xlfn.XLOOKUP($D117,$D$108:$D$110,$E$108:$E$110))</f>
        <v>3.7943999999999986E-3</v>
      </c>
      <c r="G117" s="15" cm="1">
        <f t="array" ref="G117">MMS_Poultry_Methane_Equations.VEERG_4_6_1_1__4_VolatileSolidsTransferred(F$35,G62,_xlfn.XLOOKUP($D117,$D$108:$D$110,$E$108:$E$110))</f>
        <v>4.0540799999999998E-3</v>
      </c>
      <c r="H117" s="15" cm="1">
        <f t="array" ref="H117">MMS_Poultry_Methane_Equations.VEERG_4_6_1_1__4_VolatileSolidsTransferred(G$35,H62,_xlfn.XLOOKUP($D117,$D$108:$D$110,$E$108:$E$110))</f>
        <v>3.7943999999999986E-3</v>
      </c>
      <c r="I117" s="16"/>
      <c r="N117" s="15" t="str">
        <f>INDEX(X_Table_Poultry_Stage1MMS,4,1)</f>
        <v>Manure stored in house</v>
      </c>
      <c r="O117" s="15" cm="1">
        <f t="array" ref="O117">MMS_Poultry_Methane_Equations.VEERG_4_6_1_1__4_VolatileSolidsTransferred(N$35,E62,_xlfn.XLOOKUP($N117,$D$108:$D$110,$E$108:$E$110))</f>
        <v>3.3849599999999989E-3</v>
      </c>
      <c r="P117" s="15" cm="1">
        <f t="array" ref="P117">MMS_Poultry_Methane_Equations.VEERG_4_6_1_1__4_VolatileSolidsTransferred(O$35,F62,_xlfn.XLOOKUP($N117,$D$108:$D$110,$E$108:$E$110))</f>
        <v>3.7943999999999986E-3</v>
      </c>
      <c r="Q117" s="15" cm="1">
        <f t="array" ref="Q117">MMS_Poultry_Methane_Equations.VEERG_4_6_1_1__4_VolatileSolidsTransferred(P$35,G62,_xlfn.XLOOKUP($N117,$D$108:$D$110,$E$108:$E$110))</f>
        <v>4.0540799999999998E-3</v>
      </c>
      <c r="R117" s="15" cm="1">
        <f t="array" ref="R117">MMS_Poultry_Methane_Equations.VEERG_4_6_1_1__4_VolatileSolidsTransferred(Q$35,H62,_xlfn.XLOOKUP($N117,$D$108:$D$110,$E$108:$E$110))</f>
        <v>3.7943999999999986E-3</v>
      </c>
      <c r="S117" s="16"/>
    </row>
    <row r="120" spans="1:21" ht="20.100000000000001" customHeight="1" x14ac:dyDescent="0.2">
      <c r="C120" s="83"/>
      <c r="D120" s="83"/>
      <c r="E120" s="83"/>
      <c r="F120" s="83"/>
      <c r="G120" s="83"/>
      <c r="H120" s="83"/>
      <c r="I120" s="83"/>
      <c r="J120" s="83"/>
      <c r="K120" s="83"/>
      <c r="M120" s="83"/>
      <c r="N120" s="83"/>
      <c r="O120" s="83"/>
      <c r="P120" s="83"/>
      <c r="Q120" s="83"/>
      <c r="R120" s="83"/>
      <c r="S120" s="83"/>
      <c r="T120" s="83"/>
      <c r="U120" s="83"/>
    </row>
    <row r="121" spans="1:21" ht="20.100000000000001" customHeight="1" x14ac:dyDescent="0.2">
      <c r="D121" s="2" t="str" cm="1">
        <f t="array" ref="D121">MMS_Poultry_Methane_Equations.VEERG_4_6_1_1__3_Stage2MethaneProduction_Title()</f>
        <v>Production of methane in treatment stage 2 MMS</v>
      </c>
    </row>
    <row r="122" spans="1:21" ht="20.100000000000001" customHeight="1" x14ac:dyDescent="0.2">
      <c r="D122" s="17" t="str" cm="1">
        <f t="array" ref="D122">MMS_Poultry_Methane_Equations.VEERG_4_6_1_1__3_Stage2MethaneProduction_Source()</f>
        <v>VEERG 2026: 4.4.1.1, Equation (3)</v>
      </c>
    </row>
    <row r="123" spans="1:21" ht="20.100000000000001" customHeight="1" x14ac:dyDescent="0.2">
      <c r="D123" s="25" t="str" cm="1">
        <f t="array" ref="D123">MMS_Poultry_Methane_Equations.VEERG_4_6_1_1__3_Stage2MethaneProduction_Variation()</f>
        <v>VARIATION ON SOURCE: Used mean annual temperature instead of temperature zone to determine MCF as MCF values are specific to temperature</v>
      </c>
    </row>
    <row r="124" spans="1:21" ht="20.100000000000001" customHeight="1" x14ac:dyDescent="0.2">
      <c r="D124" s="112" t="s">
        <v>328</v>
      </c>
      <c r="E124" s="112" t="str" cm="1">
        <f t="array" aca="1" ref="E124" ca="1">Common_InputFunctions.Utility_DisplayFunctionName(F159)</f>
        <v>=MMS_Poultry_Methane_Equations.VEERG_4_6_1_1__3_Stage2MethaneProduction</v>
      </c>
    </row>
    <row r="127" spans="1:21" ht="20.100000000000001" customHeight="1" x14ac:dyDescent="0.2">
      <c r="D127" s="75" t="s">
        <v>329</v>
      </c>
      <c r="E127" s="1" t="str" cm="1">
        <f t="array" ref="E127">MMS_Poultry_Methane_Equations.VEERG_4_6_1_1__3_Stage2MethaneProduction_Variable()</f>
        <v>M_jkmT2</v>
      </c>
    </row>
    <row r="128" spans="1:21" ht="20.100000000000001" customHeight="1" x14ac:dyDescent="0.2">
      <c r="A128" s="79" t="str">
        <f>HYPERLINK("#A1", "▲ Back to top")</f>
        <v>▲ Back to top</v>
      </c>
      <c r="D128" s="75" t="s">
        <v>118</v>
      </c>
      <c r="E128" s="9" t="str" cm="1">
        <f t="array" ref="E128">MMS_Poultry_Methane_Equations.VEERG_4_6_1_1__3_Stage2MethaneProduction_Unit()</f>
        <v>kg CH4/bird/day</v>
      </c>
    </row>
    <row r="130" spans="4:19" ht="20.100000000000001" customHeight="1" x14ac:dyDescent="0.2">
      <c r="D130" s="113" t="str" cm="1">
        <f t="array" ref="D130:E135">_xlfn.CHOOSECOLS(MMS_Poultry_Methane_Equations.VEERG_4_6_1_1__3_Stage2MethaneProduction_Arguments(),1,2)</f>
        <v>VST_jk</v>
      </c>
      <c r="E130" s="122" t="str">
        <v>volatile solids transferred to treatment stage 2 MMS</v>
      </c>
      <c r="F130" s="123"/>
      <c r="G130" s="113" t="str" cm="1">
        <f t="array" ref="G130:H135">_xlfn.CHOOSECOLS(MMS_Poultry_Methane_Equations.VEERG_4_6_1_1__3_Stage2MethaneProduction_Arguments(),3,4)</f>
        <v>kg VS/bird/day</v>
      </c>
      <c r="H130" s="115" t="str">
        <v>Calculated from 4.6.1.1 (4)</v>
      </c>
      <c r="I130" s="116" t="str" cm="1">
        <f t="array" aca="1" ref="I130" ca="1">HYPERLINK(Common_InputFunctions.Utility_SourceHyperlink($D$112), $D$112)</f>
        <v>M1_Table_VST_j_k</v>
      </c>
      <c r="N130" s="113" t="str" cm="1">
        <f t="array" ref="N130:O135">_xlfn.CHOOSECOLS(MMS_Poultry_Methane_Equations.VEERG_4_6_1_1__3_Stage2MethaneProduction_Arguments_Method2(),1,2)</f>
        <v>VST_jk</v>
      </c>
      <c r="O130" s="122" t="str">
        <v>volatile solids transferred to treatment stage 2 MMS</v>
      </c>
      <c r="P130" s="123"/>
      <c r="Q130" s="113" t="str" cm="1">
        <f t="array" ref="Q130:R135">_xlfn.CHOOSECOLS(MMS_Poultry_Methane_Equations.VEERG_4_6_1_1__3_Stage2MethaneProduction_Arguments_Method2(),3,4)</f>
        <v>kg VS/bird/day</v>
      </c>
      <c r="R130" s="115" t="str">
        <v>Calculated from 4.6.1.1 (4)</v>
      </c>
      <c r="S130" s="116" t="str" cm="1">
        <f t="array" aca="1" ref="S130" ca="1">HYPERLINK(Common_InputFunctions.Utility_SourceHyperlink($D$112), $D$112)</f>
        <v>M1_Table_VST_j_k</v>
      </c>
    </row>
    <row r="131" spans="4:19" ht="20.100000000000001" customHeight="1" x14ac:dyDescent="0.2">
      <c r="D131" s="113" t="str">
        <v>BO</v>
      </c>
      <c r="E131" s="122" t="str">
        <v>emissions potential</v>
      </c>
      <c r="F131" s="123"/>
      <c r="G131" s="113" t="str">
        <v>m3 CH4/kg VS</v>
      </c>
      <c r="H131" s="115" t="str">
        <v>Constant</v>
      </c>
      <c r="I131" s="116" t="str" cm="1">
        <f t="array" aca="1" ref="I131" ca="1">HYPERLINK(Common_InputFunctions.Utility_SourceHyperlink($D$65),$D$65)</f>
        <v>Table_B_0_j</v>
      </c>
      <c r="N131" s="113" t="str">
        <v>BO</v>
      </c>
      <c r="O131" s="122" t="str">
        <v>emissions potential</v>
      </c>
      <c r="P131" s="123"/>
      <c r="Q131" s="113" t="str">
        <v>m3 CH4/kg VS</v>
      </c>
      <c r="R131" s="115" t="str">
        <v>Constant</v>
      </c>
      <c r="S131" s="116" t="str" cm="1">
        <f t="array" aca="1" ref="S131" ca="1">HYPERLINK(Common_InputFunctions.Utility_SourceHyperlink($D$65),$D$65)</f>
        <v>Table_B_0_j</v>
      </c>
    </row>
    <row r="132" spans="4:19" ht="20.100000000000001" customHeight="1" x14ac:dyDescent="0.2">
      <c r="D132" s="113" t="str">
        <v>MMS_jmT2</v>
      </c>
      <c r="E132" s="122" t="str">
        <v>fraction of manure in each secondary system</v>
      </c>
      <c r="F132" s="123"/>
      <c r="G132" s="113" t="str">
        <v>fraction</v>
      </c>
      <c r="H132" s="114" t="str">
        <v>Input</v>
      </c>
      <c r="I132" s="116" t="str" cm="1">
        <f t="array" aca="1" ref="I132" ca="1">HYPERLINK(Common_InputFunctions.Utility_SourceHyperlink($D$137),$D$137)</f>
        <v>Table_MMS_j_m_T-2</v>
      </c>
      <c r="N132" s="113" t="str">
        <v>MMS_jmT2</v>
      </c>
      <c r="O132" s="122" t="str">
        <v>fraction of manure in each secondary system</v>
      </c>
      <c r="P132" s="123"/>
      <c r="Q132" s="113" t="str">
        <v>fraction</v>
      </c>
      <c r="R132" s="114" t="str">
        <v>Input</v>
      </c>
      <c r="S132" s="116" t="str" cm="1">
        <f t="array" aca="1" ref="S132" ca="1">HYPERLINK(Common_InputFunctions.Utility_SourceHyperlink($D$137),$D$137)</f>
        <v>Table_MMS_j_m_T-2</v>
      </c>
    </row>
    <row r="133" spans="4:19" ht="20.100000000000001" customHeight="1" x14ac:dyDescent="0.2">
      <c r="D133" s="113" t="str">
        <v>MCF_im</v>
      </c>
      <c r="E133" s="122" t="str">
        <v>methane conversion factor for temperature zone and MMS</v>
      </c>
      <c r="F133" s="123"/>
      <c r="G133" s="113" t="str">
        <v>fraction</v>
      </c>
      <c r="H133" s="115" t="str">
        <v>Constant</v>
      </c>
      <c r="I133" s="116" t="str" cm="1">
        <f t="array" aca="1" ref="I133" ca="1">HYPERLINK(Common_InputFunctions.Utility_SourceHyperlink($D$70),$D$70)</f>
        <v>Table_MCF_i_m</v>
      </c>
      <c r="N133" s="113" t="str">
        <v>MCF_im</v>
      </c>
      <c r="O133" s="122" t="str">
        <v>methane conversion factor for temperature zone and MMS</v>
      </c>
      <c r="P133" s="123"/>
      <c r="Q133" s="113" t="str">
        <v>fraction</v>
      </c>
      <c r="R133" s="115" t="str">
        <v>Constant</v>
      </c>
      <c r="S133" s="116" t="str" cm="1">
        <f t="array" aca="1" ref="S133" ca="1">HYPERLINK(Common_InputFunctions.Utility_SourceHyperlink($D$70),$D$70)</f>
        <v>Table_MCF_i_m</v>
      </c>
    </row>
    <row r="134" spans="4:19" ht="20.100000000000001" customHeight="1" x14ac:dyDescent="0.2">
      <c r="D134" s="113" t="str">
        <v>rho</v>
      </c>
      <c r="E134" s="122" t="str">
        <v>density of methane</v>
      </c>
      <c r="F134" s="123"/>
      <c r="G134" s="113" t="str">
        <v>kg/m3</v>
      </c>
      <c r="H134" s="115" t="str">
        <v>Constant</v>
      </c>
      <c r="I134" s="113">
        <f>Common_SourceData_DensityOfMethane_Data</f>
        <v>0.6784</v>
      </c>
      <c r="N134" s="113" t="str">
        <v>rho</v>
      </c>
      <c r="O134" s="122" t="str">
        <v>density of methane</v>
      </c>
      <c r="P134" s="123"/>
      <c r="Q134" s="113" t="str">
        <v>kg/m3</v>
      </c>
      <c r="R134" s="115" t="str">
        <v>Constant</v>
      </c>
      <c r="S134" s="113">
        <f>Common_SourceData_DensityOfMethane_Data</f>
        <v>0.6784</v>
      </c>
    </row>
    <row r="135" spans="4:19" ht="20.100000000000001" customHeight="1" x14ac:dyDescent="0.2">
      <c r="D135" s="113" t="str">
        <v>i</v>
      </c>
      <c r="E135" s="122" t="str">
        <v>state</v>
      </c>
      <c r="F135" s="123"/>
      <c r="G135" s="113" t="str">
        <v/>
      </c>
      <c r="H135" s="114" t="str">
        <v>Input</v>
      </c>
      <c r="I135" s="113" t="str">
        <f>X_Cell_Site_State</f>
        <v>Western Australia</v>
      </c>
      <c r="N135" s="113" t="str">
        <v>i</v>
      </c>
      <c r="O135" s="122" t="str">
        <v>mean annual temperature</v>
      </c>
      <c r="P135" s="123"/>
      <c r="Q135" s="113" t="str">
        <v>°C</v>
      </c>
      <c r="R135" s="114" t="str">
        <v>Input</v>
      </c>
      <c r="S135" s="113">
        <f>X_Cell_Site_AverageTemperature</f>
        <v>18</v>
      </c>
    </row>
    <row r="137" spans="4:19" ht="20.100000000000001" customHeight="1" x14ac:dyDescent="0.2">
      <c r="D137" s="118" t="s">
        <v>364</v>
      </c>
    </row>
    <row r="138" spans="4:19" ht="20.100000000000001" customHeight="1" x14ac:dyDescent="0.2">
      <c r="D138" s="119" t="s">
        <v>365</v>
      </c>
    </row>
    <row r="139" spans="4:19" ht="20.100000000000001" customHeight="1" x14ac:dyDescent="0.2">
      <c r="D139" s="78" t="s">
        <v>314</v>
      </c>
      <c r="E139" s="78" t="s">
        <v>318</v>
      </c>
      <c r="F139" s="78" t="s">
        <v>297</v>
      </c>
      <c r="G139" s="78" t="s">
        <v>298</v>
      </c>
      <c r="H139" s="78" t="s">
        <v>299</v>
      </c>
      <c r="I139" s="78" t="s">
        <v>300</v>
      </c>
    </row>
    <row r="140" spans="4:19" ht="20.100000000000001" customHeight="1" x14ac:dyDescent="0.2">
      <c r="D140" s="15" t="str">
        <f>INDEX(X_Table_Poultry_Stage1MMS,2,1)</f>
        <v>Poultry manure with bedding</v>
      </c>
      <c r="E140" s="15" t="str">
        <f>INDEX(X_Table_Poultry_Stage2MMS_PoultryManureWithBedding,2,1)</f>
        <v>Solid storage</v>
      </c>
      <c r="F140" s="15">
        <f>INDEX(X_Table_Poultry_Stage2MMS_PoultryManureWithBedding,2,2)</f>
        <v>0.2</v>
      </c>
      <c r="G140" s="15">
        <f>INDEX(X_Table_Poultry_Stage2MMS_PoultryManureWithBedding,2,3)</f>
        <v>0.2</v>
      </c>
      <c r="H140" s="15">
        <f>INDEX(X_Table_Poultry_Stage2MMS_PoultryManureWithBedding,2,4)</f>
        <v>0.2</v>
      </c>
      <c r="I140" s="15">
        <f>INDEX(X_Table_Poultry_Stage2MMS_PoultryManureWithBedding,2,5)</f>
        <v>0.2</v>
      </c>
      <c r="J140" s="16" t="str">
        <f>$G$132</f>
        <v>fraction</v>
      </c>
    </row>
    <row r="141" spans="4:19" ht="20.100000000000001" customHeight="1" x14ac:dyDescent="0.2">
      <c r="D141" s="15"/>
      <c r="E141" s="15" t="str">
        <f>INDEX(X_Table_Poultry_Stage2MMS_PoultryManureWithBedding,3,1)</f>
        <v>Composting (passive windrow)</v>
      </c>
      <c r="F141" s="15">
        <f>INDEX(X_Table_Poultry_Stage2MMS_PoultryManureWithBedding,3,2)</f>
        <v>0.2</v>
      </c>
      <c r="G141" s="15">
        <f>INDEX(X_Table_Poultry_Stage2MMS_PoultryManureWithBedding,3,3)</f>
        <v>0.2</v>
      </c>
      <c r="H141" s="15">
        <f>INDEX(X_Table_Poultry_Stage2MMS_PoultryManureWithBedding,3,4)</f>
        <v>0.2</v>
      </c>
      <c r="I141" s="15">
        <f>INDEX(X_Table_Poultry_Stage2MMS_PoultryManureWithBedding,3,5)</f>
        <v>0.2</v>
      </c>
      <c r="J141" s="16"/>
    </row>
    <row r="142" spans="4:19" ht="20.100000000000001" customHeight="1" x14ac:dyDescent="0.2">
      <c r="D142" s="15"/>
      <c r="E142" s="15" t="str">
        <f>INDEX(X_Table_Poultry_Stage2MMS_PoultryManureWithBedding,4,1)</f>
        <v>Digester / covered lagoons</v>
      </c>
      <c r="F142" s="15">
        <f>INDEX(X_Table_Poultry_Stage2MMS_PoultryManureWithBedding,4,2)</f>
        <v>0.2</v>
      </c>
      <c r="G142" s="15">
        <f>INDEX(X_Table_Poultry_Stage2MMS_PoultryManureWithBedding,4,3)</f>
        <v>0.2</v>
      </c>
      <c r="H142" s="15">
        <f>INDEX(X_Table_Poultry_Stage2MMS_PoultryManureWithBedding,4,4)</f>
        <v>0.2</v>
      </c>
      <c r="I142" s="15">
        <f>INDEX(X_Table_Poultry_Stage2MMS_PoultryManureWithBedding,4,5)</f>
        <v>0.2</v>
      </c>
      <c r="J142" s="16"/>
    </row>
    <row r="143" spans="4:19" ht="20.100000000000001" customHeight="1" x14ac:dyDescent="0.2">
      <c r="D143" s="15"/>
      <c r="E143" s="15" t="str">
        <f>INDEX(X_Table_Poultry_Stage2MMS_PoultryManureWithBedding,5,1)</f>
        <v>Direct processing</v>
      </c>
      <c r="F143" s="15">
        <f>INDEX(X_Table_Poultry_Stage2MMS_PoultryManureWithBedding,5,2)</f>
        <v>0.2</v>
      </c>
      <c r="G143" s="15">
        <f>INDEX(X_Table_Poultry_Stage2MMS_PoultryManureWithBedding,5,3)</f>
        <v>0.2</v>
      </c>
      <c r="H143" s="15">
        <f>INDEX(X_Table_Poultry_Stage2MMS_PoultryManureWithBedding,5,4)</f>
        <v>0.2</v>
      </c>
      <c r="I143" s="15">
        <f>INDEX(X_Table_Poultry_Stage2MMS_PoultryManureWithBedding,5,5)</f>
        <v>0.2</v>
      </c>
      <c r="J143" s="16"/>
    </row>
    <row r="144" spans="4:19" ht="20.100000000000001" customHeight="1" x14ac:dyDescent="0.2">
      <c r="D144" s="15"/>
      <c r="E144" s="15" t="str">
        <f>INDEX(X_Table_Poultry_Stage2MMS_PoultryManureWithBedding,6,1)</f>
        <v>Direct application</v>
      </c>
      <c r="F144" s="15">
        <f>INDEX(X_Table_Poultry_Stage2MMS_PoultryManureWithBedding,6,2)</f>
        <v>0.19999999999999996</v>
      </c>
      <c r="G144" s="15">
        <f>INDEX(X_Table_Poultry_Stage2MMS_PoultryManureWithBedding,6,3)</f>
        <v>0.19999999999999996</v>
      </c>
      <c r="H144" s="15">
        <f>INDEX(X_Table_Poultry_Stage2MMS_PoultryManureWithBedding,6,4)</f>
        <v>0.19999999999999996</v>
      </c>
      <c r="I144" s="15">
        <f>INDEX(X_Table_Poultry_Stage2MMS_PoultryManureWithBedding,6,5)</f>
        <v>0.19999999999999996</v>
      </c>
    </row>
    <row r="145" spans="1:20" ht="20.100000000000001" customHeight="1" x14ac:dyDescent="0.2">
      <c r="D145" s="15" t="str">
        <f>INDEX(X_Table_Poultry_Stage1MMS,3,1)</f>
        <v>Belt manure removal</v>
      </c>
      <c r="E145" s="15" t="str">
        <f>INDEX(X_Table_Poultry_Stage2MMS_BeltManureRemoval,2,1)</f>
        <v>Solid storage</v>
      </c>
      <c r="F145" s="15">
        <f>INDEX(X_Table_Poultry_Stage2MMS_BeltManureRemoval,2,2)</f>
        <v>0.2</v>
      </c>
      <c r="G145" s="15">
        <f>INDEX(X_Table_Poultry_Stage2MMS_BeltManureRemoval,2,3)</f>
        <v>0.2</v>
      </c>
      <c r="H145" s="15">
        <f>INDEX(X_Table_Poultry_Stage2MMS_BeltManureRemoval,2,4)</f>
        <v>0.2</v>
      </c>
      <c r="I145" s="15">
        <f>INDEX(X_Table_Poultry_Stage2MMS_BeltManureRemoval,2,5)</f>
        <v>0.2</v>
      </c>
      <c r="J145" s="16"/>
    </row>
    <row r="146" spans="1:20" ht="20.100000000000001" customHeight="1" x14ac:dyDescent="0.2">
      <c r="D146" s="15"/>
      <c r="E146" s="15" t="str">
        <f>INDEX(X_Table_Poultry_Stage2MMS_BeltManureRemoval,3,1)</f>
        <v>Composting (passive windrow)</v>
      </c>
      <c r="F146" s="15">
        <f>INDEX(X_Table_Poultry_Stage2MMS_BeltManureRemoval,3,2)</f>
        <v>0.2</v>
      </c>
      <c r="G146" s="15">
        <f>INDEX(X_Table_Poultry_Stage2MMS_BeltManureRemoval,3,3)</f>
        <v>0.2</v>
      </c>
      <c r="H146" s="15">
        <f>INDEX(X_Table_Poultry_Stage2MMS_BeltManureRemoval,3,4)</f>
        <v>0.2</v>
      </c>
      <c r="I146" s="15">
        <f>INDEX(X_Table_Poultry_Stage2MMS_BeltManureRemoval,3,5)</f>
        <v>0.2</v>
      </c>
      <c r="J146" s="16"/>
    </row>
    <row r="147" spans="1:20" ht="20.100000000000001" customHeight="1" x14ac:dyDescent="0.2">
      <c r="D147" s="15"/>
      <c r="E147" s="15" t="str">
        <f>INDEX(X_Table_Poultry_Stage2MMS_BeltManureRemoval,4,1)</f>
        <v>Digester / covered lagoons</v>
      </c>
      <c r="F147" s="15">
        <f>INDEX(X_Table_Poultry_Stage2MMS_BeltManureRemoval,4,2)</f>
        <v>0.2</v>
      </c>
      <c r="G147" s="15">
        <f>INDEX(X_Table_Poultry_Stage2MMS_BeltManureRemoval,4,3)</f>
        <v>0.2</v>
      </c>
      <c r="H147" s="15">
        <f>INDEX(X_Table_Poultry_Stage2MMS_BeltManureRemoval,4,4)</f>
        <v>0.2</v>
      </c>
      <c r="I147" s="15">
        <f>INDEX(X_Table_Poultry_Stage2MMS_BeltManureRemoval,4,5)</f>
        <v>0.2</v>
      </c>
      <c r="J147" s="16"/>
    </row>
    <row r="148" spans="1:20" ht="20.100000000000001" customHeight="1" x14ac:dyDescent="0.2">
      <c r="D148" s="15"/>
      <c r="E148" s="15" t="str">
        <f>INDEX(X_Table_Poultry_Stage2MMS_BeltManureRemoval,5,1)</f>
        <v>Direct processing</v>
      </c>
      <c r="F148" s="15">
        <f>INDEX(X_Table_Poultry_Stage2MMS_BeltManureRemoval,5,2)</f>
        <v>0.2</v>
      </c>
      <c r="G148" s="15">
        <f>INDEX(X_Table_Poultry_Stage2MMS_BeltManureRemoval,5,3)</f>
        <v>0.2</v>
      </c>
      <c r="H148" s="15">
        <f>INDEX(X_Table_Poultry_Stage2MMS_BeltManureRemoval,5,4)</f>
        <v>0.2</v>
      </c>
      <c r="I148" s="15">
        <f>INDEX(X_Table_Poultry_Stage2MMS_BeltManureRemoval,5,5)</f>
        <v>0.2</v>
      </c>
      <c r="J148" s="16"/>
    </row>
    <row r="149" spans="1:20" ht="20.100000000000001" customHeight="1" x14ac:dyDescent="0.2">
      <c r="D149" s="15"/>
      <c r="E149" s="15" t="str">
        <f>INDEX(X_Table_Poultry_Stage2MMS_BeltManureRemoval,6,1)</f>
        <v>Direct application</v>
      </c>
      <c r="F149" s="15">
        <f>INDEX(X_Table_Poultry_Stage2MMS_BeltManureRemoval,6,2)</f>
        <v>0.19999999999999996</v>
      </c>
      <c r="G149" s="15">
        <f>INDEX(X_Table_Poultry_Stage2MMS_BeltManureRemoval,6,3)</f>
        <v>0.19999999999999996</v>
      </c>
      <c r="H149" s="15">
        <f>INDEX(X_Table_Poultry_Stage2MMS_BeltManureRemoval,6,4)</f>
        <v>0.19999999999999996</v>
      </c>
      <c r="I149" s="15">
        <f>INDEX(X_Table_Poultry_Stage2MMS_BeltManureRemoval,6,5)</f>
        <v>0.19999999999999996</v>
      </c>
    </row>
    <row r="150" spans="1:20" ht="20.100000000000001" customHeight="1" x14ac:dyDescent="0.2">
      <c r="D150" s="15" t="str">
        <f>INDEX(X_Table_Poultry_Stage1MMS,4,1)</f>
        <v>Manure stored in house</v>
      </c>
      <c r="E150" s="15" t="str">
        <f>INDEX(X_Table_Poultry_Stage2MMS_ManureStoredInHouse,2,1)</f>
        <v>Solid storage</v>
      </c>
      <c r="F150" s="15">
        <f>INDEX(X_Table_Poultry_Stage2MMS_ManureStoredInHouse,2,2)</f>
        <v>0.2</v>
      </c>
      <c r="G150" s="15">
        <f>INDEX(X_Table_Poultry_Stage2MMS_ManureStoredInHouse,2,3)</f>
        <v>0.2</v>
      </c>
      <c r="H150" s="15">
        <f>INDEX(X_Table_Poultry_Stage2MMS_ManureStoredInHouse,2,4)</f>
        <v>0.2</v>
      </c>
      <c r="I150" s="15">
        <f>INDEX(X_Table_Poultry_Stage2MMS_ManureStoredInHouse,2,5)</f>
        <v>0.2</v>
      </c>
      <c r="J150" s="16"/>
    </row>
    <row r="151" spans="1:20" ht="20.100000000000001" customHeight="1" x14ac:dyDescent="0.2">
      <c r="D151" s="15"/>
      <c r="E151" s="15" t="str">
        <f>INDEX(X_Table_Poultry_Stage2MMS_ManureStoredInHouse,3,1)</f>
        <v>Composting (passive windrow)</v>
      </c>
      <c r="F151" s="15">
        <f>INDEX(X_Table_Poultry_Stage2MMS_ManureStoredInHouse,3,2)</f>
        <v>0.2</v>
      </c>
      <c r="G151" s="15">
        <f>INDEX(X_Table_Poultry_Stage2MMS_ManureStoredInHouse,3,3)</f>
        <v>0.2</v>
      </c>
      <c r="H151" s="15">
        <f>INDEX(X_Table_Poultry_Stage2MMS_ManureStoredInHouse,3,4)</f>
        <v>0.2</v>
      </c>
      <c r="I151" s="15">
        <f>INDEX(X_Table_Poultry_Stage2MMS_ManureStoredInHouse,3,5)</f>
        <v>0.2</v>
      </c>
      <c r="J151" s="16"/>
    </row>
    <row r="152" spans="1:20" ht="20.100000000000001" customHeight="1" x14ac:dyDescent="0.2">
      <c r="D152" s="15"/>
      <c r="E152" s="15" t="str">
        <f>INDEX(X_Table_Poultry_Stage2MMS_ManureStoredInHouse,4,1)</f>
        <v>Digester / covered lagoons</v>
      </c>
      <c r="F152" s="15">
        <f>INDEX(X_Table_Poultry_Stage2MMS_ManureStoredInHouse,4,2)</f>
        <v>0.2</v>
      </c>
      <c r="G152" s="15">
        <f>INDEX(X_Table_Poultry_Stage2MMS_ManureStoredInHouse,4,3)</f>
        <v>0.2</v>
      </c>
      <c r="H152" s="15">
        <f>INDEX(X_Table_Poultry_Stage2MMS_ManureStoredInHouse,4,4)</f>
        <v>0.2</v>
      </c>
      <c r="I152" s="15">
        <f>INDEX(X_Table_Poultry_Stage2MMS_ManureStoredInHouse,4,5)</f>
        <v>0.2</v>
      </c>
      <c r="J152" s="16"/>
    </row>
    <row r="153" spans="1:20" ht="20.100000000000001" customHeight="1" x14ac:dyDescent="0.2">
      <c r="D153" s="15"/>
      <c r="E153" s="15" t="str">
        <f>INDEX(X_Table_Poultry_Stage2MMS_ManureStoredInHouse,5,1)</f>
        <v>Direct processing</v>
      </c>
      <c r="F153" s="15">
        <f>INDEX(X_Table_Poultry_Stage2MMS_ManureStoredInHouse,5,2)</f>
        <v>0.2</v>
      </c>
      <c r="G153" s="15">
        <f>INDEX(X_Table_Poultry_Stage2MMS_ManureStoredInHouse,5,3)</f>
        <v>0.2</v>
      </c>
      <c r="H153" s="15">
        <f>INDEX(X_Table_Poultry_Stage2MMS_ManureStoredInHouse,5,4)</f>
        <v>0.2</v>
      </c>
      <c r="I153" s="15">
        <f>INDEX(X_Table_Poultry_Stage2MMS_ManureStoredInHouse,5,5)</f>
        <v>0.2</v>
      </c>
      <c r="J153" s="16"/>
    </row>
    <row r="154" spans="1:20" ht="20.100000000000001" customHeight="1" x14ac:dyDescent="0.2">
      <c r="D154" s="15"/>
      <c r="E154" s="15" t="str">
        <f>INDEX(X_Table_Poultry_Stage2MMS_ManureStoredInHouse,6,1)</f>
        <v>Direct application</v>
      </c>
      <c r="F154" s="15">
        <f>INDEX(X_Table_Poultry_Stage2MMS_ManureStoredInHouse,6,2)</f>
        <v>0.19999999999999996</v>
      </c>
      <c r="G154" s="15">
        <f>INDEX(X_Table_Poultry_Stage2MMS_ManureStoredInHouse,6,3)</f>
        <v>0.19999999999999996</v>
      </c>
      <c r="H154" s="15">
        <f>INDEX(X_Table_Poultry_Stage2MMS_ManureStoredInHouse,6,4)</f>
        <v>0.19999999999999996</v>
      </c>
      <c r="I154" s="15">
        <f>INDEX(X_Table_Poultry_Stage2MMS_ManureStoredInHouse,6,5)</f>
        <v>0.19999999999999996</v>
      </c>
    </row>
    <row r="156" spans="1:20" ht="20.100000000000001" customHeight="1" x14ac:dyDescent="0.2">
      <c r="D156" s="118" t="s">
        <v>366</v>
      </c>
      <c r="N156" s="118" t="s">
        <v>366</v>
      </c>
    </row>
    <row r="157" spans="1:20" ht="20.100000000000001" customHeight="1" x14ac:dyDescent="0.2">
      <c r="D157" s="119" t="s">
        <v>367</v>
      </c>
      <c r="N157" s="119" t="s">
        <v>367</v>
      </c>
    </row>
    <row r="158" spans="1:20" ht="20.100000000000001" customHeight="1" x14ac:dyDescent="0.2">
      <c r="A158" s="79" t="str">
        <f>HYPERLINK("#A1", "▲ Back to top")</f>
        <v>▲ Back to top</v>
      </c>
      <c r="D158" s="120" t="s">
        <v>314</v>
      </c>
      <c r="E158" s="120" t="s">
        <v>318</v>
      </c>
      <c r="F158" s="120" t="s">
        <v>297</v>
      </c>
      <c r="G158" s="120" t="s">
        <v>298</v>
      </c>
      <c r="H158" s="120" t="s">
        <v>299</v>
      </c>
      <c r="I158" s="120" t="s">
        <v>300</v>
      </c>
      <c r="N158" s="120" t="s">
        <v>314</v>
      </c>
      <c r="O158" s="120" t="s">
        <v>318</v>
      </c>
      <c r="P158" s="120" t="s">
        <v>297</v>
      </c>
      <c r="Q158" s="120" t="s">
        <v>298</v>
      </c>
      <c r="R158" s="120" t="s">
        <v>299</v>
      </c>
      <c r="S158" s="120" t="s">
        <v>300</v>
      </c>
    </row>
    <row r="159" spans="1:20" ht="20.100000000000001" customHeight="1" x14ac:dyDescent="0.2">
      <c r="D159" s="15" t="str">
        <f>INDEX(X_Table_Poultry_Stage1MMS,2,1)</f>
        <v>Poultry manure with bedding</v>
      </c>
      <c r="E159" s="15" t="str">
        <f>INDEX(X_Table_Poultry_Stage2MMS_PoultryManureWithBedding,2,1)</f>
        <v>Solid storage</v>
      </c>
      <c r="F159" s="15" cm="1">
        <f t="array" ref="F159">MMS_Poultry_Methane_Equations.VEERG_4_6_1_1__3_Stage2MethaneProduction(E$115,D$68,F140,_xlfn.XLOOKUP($E159,$D$73:$D$81,$E$73:$E$81),$I$134)</f>
        <v>3.8062115020799981E-6</v>
      </c>
      <c r="G159" s="15" cm="1">
        <f t="array" ref="G159">MMS_Poultry_Methane_Equations.VEERG_4_6_1_1__3_Stage2MethaneProduction(F$115,E$68,G140,_xlfn.XLOOKUP($E159,$D$73:$D$81,$E$73:$E$81),$I$134)</f>
        <v>3.9384050687999985E-6</v>
      </c>
      <c r="H159" s="15" cm="1">
        <f t="array" ref="H159">MMS_Poultry_Methane_Equations.VEERG_4_6_1_1__3_Stage2MethaneProduction(G$115,F$68,H140,_xlfn.XLOOKUP($E159,$D$73:$D$81,$E$73:$E$81),$I$134)</f>
        <v>4.2079404441599992E-6</v>
      </c>
      <c r="I159" s="15" cm="1">
        <f t="array" ref="I159">MMS_Poultry_Methane_Equations.VEERG_4_6_1_1__3_Stage2MethaneProduction(H$115,G$68,I140,_xlfn.XLOOKUP($E159,$D$73:$D$81,$E$73:$E$81),$I$134)</f>
        <v>3.9384050687999985E-6</v>
      </c>
      <c r="J159" s="16" t="str">
        <f>$E$128</f>
        <v>kg CH4/bird/day</v>
      </c>
      <c r="N159" s="15" t="str">
        <f>INDEX(X_Table_Poultry_Stage1MMS,2,1)</f>
        <v>Poultry manure with bedding</v>
      </c>
      <c r="O159" s="15" t="str">
        <f>INDEX(X_Table_Poultry_Stage2MMS_PoultryManureWithBedding,2,1)</f>
        <v>Solid storage</v>
      </c>
      <c r="P159" s="15" cm="1">
        <f t="array" ref="P159">MMS_Poultry_Methane_Equations.VEERG_4_6_1_1__3_Stage2MethaneProduction(O$115,D$68,F140,_xlfn.XLOOKUP($O159,$N$73:$N$81,$O$73:$O$81),$I$134)</f>
        <v>3.8062115020799981E-6</v>
      </c>
      <c r="Q159" s="15" cm="1">
        <f t="array" ref="Q159">MMS_Poultry_Methane_Equations.VEERG_4_6_1_1__3_Stage2MethaneProduction(P$115,E$68,G140,_xlfn.XLOOKUP($O159,$N$73:$N$81,$O$73:$O$81),$I$134)</f>
        <v>3.9384050687999985E-6</v>
      </c>
      <c r="R159" s="15" cm="1">
        <f t="array" ref="R159">MMS_Poultry_Methane_Equations.VEERG_4_6_1_1__3_Stage2MethaneProduction(Q$115,F$68,H140,_xlfn.XLOOKUP($O159,$N$73:$N$81,$O$73:$O$81),$I$134)</f>
        <v>4.2079404441599992E-6</v>
      </c>
      <c r="S159" s="15" cm="1">
        <f t="array" ref="S159">MMS_Poultry_Methane_Equations.VEERG_4_6_1_1__3_Stage2MethaneProduction(R$115,G$68,I140,_xlfn.XLOOKUP($O159,$N$73:$N$81,$O$73:$O$81),$I$134)</f>
        <v>3.9384050687999985E-6</v>
      </c>
      <c r="T159" s="16" t="str">
        <f>$E$128</f>
        <v>kg CH4/bird/day</v>
      </c>
    </row>
    <row r="160" spans="1:20" ht="20.100000000000001" customHeight="1" x14ac:dyDescent="0.2">
      <c r="D160" s="15"/>
      <c r="E160" s="15" t="str">
        <f>INDEX(X_Table_Poultry_Stage2MMS_PoultryManureWithBedding,3,1)</f>
        <v>Composting (passive windrow)</v>
      </c>
      <c r="F160" s="15" cm="1">
        <f t="array" ref="F160">MMS_Poultry_Methane_Equations.VEERG_4_6_1_1__3_Stage2MethaneProduction(E$115,D$68,F141,_xlfn.XLOOKUP($E160,$D$73:$D$81,$E$73:$E$81),$I$134)</f>
        <v>1.9031057510399991E-6</v>
      </c>
      <c r="G160" s="15" cm="1">
        <f t="array" ref="G160">MMS_Poultry_Methane_Equations.VEERG_4_6_1_1__3_Stage2MethaneProduction(F$115,E$68,G141,_xlfn.XLOOKUP($E160,$D$73:$D$81,$E$73:$E$81),$I$134)</f>
        <v>1.9692025343999993E-6</v>
      </c>
      <c r="H160" s="15" cm="1">
        <f t="array" ref="H160">MMS_Poultry_Methane_Equations.VEERG_4_6_1_1__3_Stage2MethaneProduction(G$115,F$68,H141,_xlfn.XLOOKUP($E160,$D$73:$D$81,$E$73:$E$81),$I$134)</f>
        <v>2.1039702220799996E-6</v>
      </c>
      <c r="I160" s="15" cm="1">
        <f t="array" ref="I160">MMS_Poultry_Methane_Equations.VEERG_4_6_1_1__3_Stage2MethaneProduction(H$115,G$68,I141,_xlfn.XLOOKUP($E160,$D$73:$D$81,$E$73:$E$81),$I$134)</f>
        <v>1.9692025343999993E-6</v>
      </c>
      <c r="J160" s="16"/>
      <c r="N160" s="15"/>
      <c r="O160" s="15" t="str">
        <f>INDEX(X_Table_Poultry_Stage2MMS_PoultryManureWithBedding,3,1)</f>
        <v>Composting (passive windrow)</v>
      </c>
      <c r="P160" s="15" cm="1">
        <f t="array" ref="P160">MMS_Poultry_Methane_Equations.VEERG_4_6_1_1__3_Stage2MethaneProduction(O$115,D$68,F141,_xlfn.XLOOKUP($O160,$N$73:$N$81,$O$73:$O$81),$I$134)</f>
        <v>9.5155287551999953E-7</v>
      </c>
      <c r="Q160" s="15" cm="1">
        <f t="array" ref="Q160">MMS_Poultry_Methane_Equations.VEERG_4_6_1_1__3_Stage2MethaneProduction(P$115,E$68,G141,_xlfn.XLOOKUP($O160,$N$73:$N$81,$O$73:$O$81),$I$134)</f>
        <v>9.8460126719999963E-7</v>
      </c>
      <c r="R160" s="15" cm="1">
        <f t="array" ref="R160">MMS_Poultry_Methane_Equations.VEERG_4_6_1_1__3_Stage2MethaneProduction(Q$115,F$68,H141,_xlfn.XLOOKUP($O160,$N$73:$N$81,$O$73:$O$81),$I$134)</f>
        <v>1.0519851110399998E-6</v>
      </c>
      <c r="S160" s="15" cm="1">
        <f t="array" ref="S160">MMS_Poultry_Methane_Equations.VEERG_4_6_1_1__3_Stage2MethaneProduction(R$115,G$68,I141,_xlfn.XLOOKUP($O160,$N$73:$N$81,$O$73:$O$81),$I$134)</f>
        <v>9.8460126719999963E-7</v>
      </c>
      <c r="T160" s="16"/>
    </row>
    <row r="161" spans="3:21" ht="20.100000000000001" customHeight="1" x14ac:dyDescent="0.2">
      <c r="D161" s="15"/>
      <c r="E161" s="15" t="str">
        <f>INDEX(X_Table_Poultry_Stage2MMS_PoultryManureWithBedding,4,1)</f>
        <v>Digester / covered lagoons</v>
      </c>
      <c r="F161" s="15" cm="1">
        <f t="array" ref="F161">MMS_Poultry_Methane_Equations.VEERG_4_6_1_1__3_Stage2MethaneProduction(E$115,D$68,F142,_xlfn.XLOOKUP($E161,$D$73:$D$81,$E$73:$E$81),$I$134)</f>
        <v>1.9031057510399994E-5</v>
      </c>
      <c r="G161" s="15" cm="1">
        <f t="array" ref="G161">MMS_Poultry_Methane_Equations.VEERG_4_6_1_1__3_Stage2MethaneProduction(F$115,E$68,G142,_xlfn.XLOOKUP($E161,$D$73:$D$81,$E$73:$E$81),$I$134)</f>
        <v>1.9692025343999994E-5</v>
      </c>
      <c r="H161" s="15" cm="1">
        <f t="array" ref="H161">MMS_Poultry_Methane_Equations.VEERG_4_6_1_1__3_Stage2MethaneProduction(G$115,F$68,H142,_xlfn.XLOOKUP($E161,$D$73:$D$81,$E$73:$E$81),$I$134)</f>
        <v>2.1039702220799998E-5</v>
      </c>
      <c r="I161" s="15" cm="1">
        <f t="array" ref="I161">MMS_Poultry_Methane_Equations.VEERG_4_6_1_1__3_Stage2MethaneProduction(H$115,G$68,I142,_xlfn.XLOOKUP($E161,$D$73:$D$81,$E$73:$E$81),$I$134)</f>
        <v>1.9692025343999994E-5</v>
      </c>
      <c r="J161" s="16"/>
      <c r="N161" s="15"/>
      <c r="O161" s="15" t="str">
        <f>INDEX(X_Table_Poultry_Stage2MMS_PoultryManureWithBedding,4,1)</f>
        <v>Digester / covered lagoons</v>
      </c>
      <c r="P161" s="15" cm="1">
        <f t="array" ref="P161">MMS_Poultry_Methane_Equations.VEERG_4_6_1_1__3_Stage2MethaneProduction(O$115,D$68,F142,_xlfn.XLOOKUP($O161,$N$73:$N$81,$O$73:$O$81),$I$134)</f>
        <v>1.9031057510399994E-5</v>
      </c>
      <c r="Q161" s="15" cm="1">
        <f t="array" ref="Q161">MMS_Poultry_Methane_Equations.VEERG_4_6_1_1__3_Stage2MethaneProduction(P$115,E$68,G142,_xlfn.XLOOKUP($O161,$N$73:$N$81,$O$73:$O$81),$I$134)</f>
        <v>1.9692025343999994E-5</v>
      </c>
      <c r="R161" s="15" cm="1">
        <f t="array" ref="R161">MMS_Poultry_Methane_Equations.VEERG_4_6_1_1__3_Stage2MethaneProduction(Q$115,F$68,H142,_xlfn.XLOOKUP($O161,$N$73:$N$81,$O$73:$O$81),$I$134)</f>
        <v>2.1039702220799998E-5</v>
      </c>
      <c r="S161" s="15" cm="1">
        <f t="array" ref="S161">MMS_Poultry_Methane_Equations.VEERG_4_6_1_1__3_Stage2MethaneProduction(R$115,G$68,I142,_xlfn.XLOOKUP($O161,$N$73:$N$81,$O$73:$O$81),$I$134)</f>
        <v>1.9692025343999994E-5</v>
      </c>
      <c r="T161" s="16"/>
    </row>
    <row r="162" spans="3:21" ht="20.100000000000001" customHeight="1" x14ac:dyDescent="0.2">
      <c r="D162" s="15"/>
      <c r="E162" s="15" t="str">
        <f>INDEX(X_Table_Poultry_Stage2MMS_PoultryManureWithBedding,5,1)</f>
        <v>Direct processing</v>
      </c>
      <c r="F162" s="15" cm="1">
        <f t="array" ref="F162">MMS_Poultry_Methane_Equations.VEERG_4_6_1_1__3_Stage2MethaneProduction(E$115,D$68,F143,_xlfn.XLOOKUP($E162,$D$73:$D$81,$E$73:$E$81),$I$134)</f>
        <v>0</v>
      </c>
      <c r="G162" s="15" cm="1">
        <f t="array" ref="G162">MMS_Poultry_Methane_Equations.VEERG_4_6_1_1__3_Stage2MethaneProduction(F$115,E$68,G143,_xlfn.XLOOKUP($E162,$D$73:$D$81,$E$73:$E$81),$I$134)</f>
        <v>0</v>
      </c>
      <c r="H162" s="15" cm="1">
        <f t="array" ref="H162">MMS_Poultry_Methane_Equations.VEERG_4_6_1_1__3_Stage2MethaneProduction(G$115,F$68,H143,_xlfn.XLOOKUP($E162,$D$73:$D$81,$E$73:$E$81),$I$134)</f>
        <v>0</v>
      </c>
      <c r="I162" s="15" cm="1">
        <f t="array" ref="I162">MMS_Poultry_Methane_Equations.VEERG_4_6_1_1__3_Stage2MethaneProduction(H$115,G$68,I143,_xlfn.XLOOKUP($E162,$D$73:$D$81,$E$73:$E$81),$I$134)</f>
        <v>0</v>
      </c>
      <c r="J162" s="16"/>
      <c r="N162" s="15"/>
      <c r="O162" s="15" t="str">
        <f>INDEX(X_Table_Poultry_Stage2MMS_PoultryManureWithBedding,5,1)</f>
        <v>Direct processing</v>
      </c>
      <c r="P162" s="15" cm="1">
        <f t="array" ref="P162">MMS_Poultry_Methane_Equations.VEERG_4_6_1_1__3_Stage2MethaneProduction(O$115,D$68,F143,_xlfn.XLOOKUP($O162,$N$73:$N$81,$O$73:$O$81),$I$134)</f>
        <v>0</v>
      </c>
      <c r="Q162" s="15" cm="1">
        <f t="array" ref="Q162">MMS_Poultry_Methane_Equations.VEERG_4_6_1_1__3_Stage2MethaneProduction(P$115,E$68,G143,_xlfn.XLOOKUP($O162,$N$73:$N$81,$O$73:$O$81),$I$134)</f>
        <v>0</v>
      </c>
      <c r="R162" s="15" cm="1">
        <f t="array" ref="R162">MMS_Poultry_Methane_Equations.VEERG_4_6_1_1__3_Stage2MethaneProduction(Q$115,F$68,H143,_xlfn.XLOOKUP($O162,$N$73:$N$81,$O$73:$O$81),$I$134)</f>
        <v>0</v>
      </c>
      <c r="S162" s="15" cm="1">
        <f t="array" ref="S162">MMS_Poultry_Methane_Equations.VEERG_4_6_1_1__3_Stage2MethaneProduction(R$115,G$68,I143,_xlfn.XLOOKUP($O162,$N$73:$N$81,$O$73:$O$81),$I$134)</f>
        <v>0</v>
      </c>
      <c r="T162" s="16"/>
    </row>
    <row r="163" spans="3:21" ht="20.100000000000001" customHeight="1" x14ac:dyDescent="0.2">
      <c r="D163" s="15"/>
      <c r="E163" s="15" t="str">
        <f>INDEX(X_Table_Poultry_Stage2MMS_PoultryManureWithBedding,6,1)</f>
        <v>Direct application</v>
      </c>
      <c r="F163" s="15" cm="1">
        <f t="array" ref="F163">MMS_Poultry_Methane_Equations.VEERG_4_6_1_1__3_Stage2MethaneProduction(E$115,D$68,F144,_xlfn.XLOOKUP($E163,$D$73:$D$81,$E$73:$E$81),$I$134)</f>
        <v>0</v>
      </c>
      <c r="G163" s="15" cm="1">
        <f t="array" ref="G163">MMS_Poultry_Methane_Equations.VEERG_4_6_1_1__3_Stage2MethaneProduction(F$115,E$68,G144,_xlfn.XLOOKUP($E163,$D$73:$D$81,$E$73:$E$81),$I$134)</f>
        <v>0</v>
      </c>
      <c r="H163" s="15" cm="1">
        <f t="array" ref="H163">MMS_Poultry_Methane_Equations.VEERG_4_6_1_1__3_Stage2MethaneProduction(G$115,F$68,H144,_xlfn.XLOOKUP($E163,$D$73:$D$81,$E$73:$E$81),$I$134)</f>
        <v>0</v>
      </c>
      <c r="I163" s="15" cm="1">
        <f t="array" ref="I163">MMS_Poultry_Methane_Equations.VEERG_4_6_1_1__3_Stage2MethaneProduction(H$115,G$68,I144,_xlfn.XLOOKUP($E163,$D$73:$D$81,$E$73:$E$81),$I$134)</f>
        <v>0</v>
      </c>
      <c r="N163" s="15"/>
      <c r="O163" s="15" t="str">
        <f>INDEX(X_Table_Poultry_Stage2MMS_PoultryManureWithBedding,6,1)</f>
        <v>Direct application</v>
      </c>
      <c r="P163" s="15" cm="1">
        <f t="array" ref="P163">MMS_Poultry_Methane_Equations.VEERG_4_6_1_1__3_Stage2MethaneProduction(O$115,D$68,F144,_xlfn.XLOOKUP($O163,$N$73:$N$81,$O$73:$O$81),$I$134)</f>
        <v>0</v>
      </c>
      <c r="Q163" s="15" cm="1">
        <f t="array" ref="Q163">MMS_Poultry_Methane_Equations.VEERG_4_6_1_1__3_Stage2MethaneProduction(P$115,E$68,G144,_xlfn.XLOOKUP($O163,$N$73:$N$81,$O$73:$O$81),$I$134)</f>
        <v>0</v>
      </c>
      <c r="R163" s="15" cm="1">
        <f t="array" ref="R163">MMS_Poultry_Methane_Equations.VEERG_4_6_1_1__3_Stage2MethaneProduction(Q$115,F$68,H144,_xlfn.XLOOKUP($O163,$N$73:$N$81,$O$73:$O$81),$I$134)</f>
        <v>0</v>
      </c>
      <c r="S163" s="15" cm="1">
        <f t="array" ref="S163">MMS_Poultry_Methane_Equations.VEERG_4_6_1_1__3_Stage2MethaneProduction(R$115,G$68,I144,_xlfn.XLOOKUP($O163,$N$73:$N$81,$O$73:$O$81),$I$134)</f>
        <v>0</v>
      </c>
    </row>
    <row r="164" spans="3:21" ht="20.100000000000001" customHeight="1" x14ac:dyDescent="0.2">
      <c r="D164" s="15" t="str">
        <f>INDEX(X_Table_Poultry_Stage1MMS,3,1)</f>
        <v>Belt manure removal</v>
      </c>
      <c r="E164" s="15" t="str">
        <f>INDEX(X_Table_Poultry_Stage2MMS_BeltManureRemoval,2,1)</f>
        <v>Solid storage</v>
      </c>
      <c r="F164" s="15" cm="1">
        <f t="array" ref="F164">MMS_Poultry_Methane_Equations.VEERG_4_6_1_1__3_Stage2MethaneProduction(E$116,D$68,F145,_xlfn.XLOOKUP($E164,$D$73:$D$81,$E$73:$E$81),$I$134)</f>
        <v>4.4778958847999987E-6</v>
      </c>
      <c r="G164" s="15" cm="1">
        <f t="array" ref="G164">MMS_Poultry_Methane_Equations.VEERG_4_6_1_1__3_Stage2MethaneProduction(F$116,E$68,G145,_xlfn.XLOOKUP($E164,$D$73:$D$81,$E$73:$E$81),$I$134)</f>
        <v>4.6334177279999986E-6</v>
      </c>
      <c r="H164" s="15" cm="1">
        <f t="array" ref="H164">MMS_Poultry_Methane_Equations.VEERG_4_6_1_1__3_Stage2MethaneProduction(G$116,F$68,H145,_xlfn.XLOOKUP($E164,$D$73:$D$81,$E$73:$E$81),$I$134)</f>
        <v>4.9505181695999996E-6</v>
      </c>
      <c r="I164" s="15" cm="1">
        <f t="array" ref="I164">MMS_Poultry_Methane_Equations.VEERG_4_6_1_1__3_Stage2MethaneProduction(H$116,G$68,I145,_xlfn.XLOOKUP($E164,$D$73:$D$81,$E$73:$E$81),$I$134)</f>
        <v>4.6334177279999986E-6</v>
      </c>
      <c r="J164" s="16"/>
      <c r="N164" s="15" t="str">
        <f>INDEX(X_Table_Poultry_Stage1MMS,3,1)</f>
        <v>Belt manure removal</v>
      </c>
      <c r="O164" s="15" t="str">
        <f>INDEX(X_Table_Poultry_Stage2MMS_BeltManureRemoval,2,1)</f>
        <v>Solid storage</v>
      </c>
      <c r="P164" s="15" cm="1">
        <f t="array" ref="P164">MMS_Poultry_Methane_Equations.VEERG_4_6_1_1__3_Stage2MethaneProduction(O$116,D$68,F145,_xlfn.XLOOKUP($O164,$N$73:$N$81,$O$73:$O$81),$I$134)</f>
        <v>4.4778958847999987E-6</v>
      </c>
      <c r="Q164" s="15" cm="1">
        <f t="array" ref="Q164">MMS_Poultry_Methane_Equations.VEERG_4_6_1_1__3_Stage2MethaneProduction(P$116,E$68,G145,_xlfn.XLOOKUP($O164,$N$73:$N$81,$O$73:$O$81),$I$134)</f>
        <v>4.6334177279999986E-6</v>
      </c>
      <c r="R164" s="15" cm="1">
        <f t="array" ref="R164">MMS_Poultry_Methane_Equations.VEERG_4_6_1_1__3_Stage2MethaneProduction(Q$116,F$68,H145,_xlfn.XLOOKUP($O164,$N$73:$N$81,$O$73:$O$81),$I$134)</f>
        <v>4.9505181695999996E-6</v>
      </c>
      <c r="S164" s="15" cm="1">
        <f t="array" ref="S164">MMS_Poultry_Methane_Equations.VEERG_4_6_1_1__3_Stage2MethaneProduction(R$116,G$68,I145,_xlfn.XLOOKUP($O164,$N$73:$N$81,$O$73:$O$81),$I$134)</f>
        <v>4.6334177279999986E-6</v>
      </c>
      <c r="T164" s="16"/>
    </row>
    <row r="165" spans="3:21" ht="20.100000000000001" customHeight="1" x14ac:dyDescent="0.2">
      <c r="D165" s="15"/>
      <c r="E165" s="15" t="str">
        <f>INDEX(X_Table_Poultry_Stage2MMS_BeltManureRemoval,3,1)</f>
        <v>Composting (passive windrow)</v>
      </c>
      <c r="F165" s="15" cm="1">
        <f t="array" ref="F165">MMS_Poultry_Methane_Equations.VEERG_4_6_1_1__3_Stage2MethaneProduction(E$116,D$68,F146,_xlfn.XLOOKUP($E165,$D$73:$D$81,$E$73:$E$81),$I$134)</f>
        <v>2.2389479423999994E-6</v>
      </c>
      <c r="G165" s="15" cm="1">
        <f t="array" ref="G165">MMS_Poultry_Methane_Equations.VEERG_4_6_1_1__3_Stage2MethaneProduction(F$116,E$68,G146,_xlfn.XLOOKUP($E165,$D$73:$D$81,$E$73:$E$81),$I$134)</f>
        <v>2.3167088639999993E-6</v>
      </c>
      <c r="H165" s="15" cm="1">
        <f t="array" ref="H165">MMS_Poultry_Methane_Equations.VEERG_4_6_1_1__3_Stage2MethaneProduction(G$116,F$68,H146,_xlfn.XLOOKUP($E165,$D$73:$D$81,$E$73:$E$81),$I$134)</f>
        <v>2.4752590847999998E-6</v>
      </c>
      <c r="I165" s="15" cm="1">
        <f t="array" ref="I165">MMS_Poultry_Methane_Equations.VEERG_4_6_1_1__3_Stage2MethaneProduction(H$116,G$68,I146,_xlfn.XLOOKUP($E165,$D$73:$D$81,$E$73:$E$81),$I$134)</f>
        <v>2.3167088639999993E-6</v>
      </c>
      <c r="J165" s="16"/>
      <c r="N165" s="15"/>
      <c r="O165" s="15" t="str">
        <f>INDEX(X_Table_Poultry_Stage2MMS_BeltManureRemoval,3,1)</f>
        <v>Composting (passive windrow)</v>
      </c>
      <c r="P165" s="15" cm="1">
        <f t="array" ref="P165">MMS_Poultry_Methane_Equations.VEERG_4_6_1_1__3_Stage2MethaneProduction(O$116,D$68,F146,_xlfn.XLOOKUP($O165,$N$73:$N$81,$O$73:$O$81),$I$134)</f>
        <v>1.1194739711999997E-6</v>
      </c>
      <c r="Q165" s="15" cm="1">
        <f t="array" ref="Q165">MMS_Poultry_Methane_Equations.VEERG_4_6_1_1__3_Stage2MethaneProduction(P$116,E$68,G146,_xlfn.XLOOKUP($O165,$N$73:$N$81,$O$73:$O$81),$I$134)</f>
        <v>1.1583544319999997E-6</v>
      </c>
      <c r="R165" s="15" cm="1">
        <f t="array" ref="R165">MMS_Poultry_Methane_Equations.VEERG_4_6_1_1__3_Stage2MethaneProduction(Q$116,F$68,H146,_xlfn.XLOOKUP($O165,$N$73:$N$81,$O$73:$O$81),$I$134)</f>
        <v>1.2376295423999999E-6</v>
      </c>
      <c r="S165" s="15" cm="1">
        <f t="array" ref="S165">MMS_Poultry_Methane_Equations.VEERG_4_6_1_1__3_Stage2MethaneProduction(R$116,G$68,I146,_xlfn.XLOOKUP($O165,$N$73:$N$81,$O$73:$O$81),$I$134)</f>
        <v>1.1583544319999997E-6</v>
      </c>
      <c r="T165" s="16"/>
    </row>
    <row r="166" spans="3:21" ht="20.100000000000001" customHeight="1" x14ac:dyDescent="0.2">
      <c r="D166" s="15"/>
      <c r="E166" s="15" t="str">
        <f>INDEX(X_Table_Poultry_Stage2MMS_BeltManureRemoval,4,1)</f>
        <v>Digester / covered lagoons</v>
      </c>
      <c r="F166" s="15" cm="1">
        <f t="array" ref="F166">MMS_Poultry_Methane_Equations.VEERG_4_6_1_1__3_Stage2MethaneProduction(E$116,D$68,F147,_xlfn.XLOOKUP($E166,$D$73:$D$81,$E$73:$E$81),$I$134)</f>
        <v>2.2389479423999996E-5</v>
      </c>
      <c r="G166" s="15" cm="1">
        <f t="array" ref="G166">MMS_Poultry_Methane_Equations.VEERG_4_6_1_1__3_Stage2MethaneProduction(F$116,E$68,G147,_xlfn.XLOOKUP($E166,$D$73:$D$81,$E$73:$E$81),$I$134)</f>
        <v>2.3167088639999993E-5</v>
      </c>
      <c r="H166" s="15" cm="1">
        <f t="array" ref="H166">MMS_Poultry_Methane_Equations.VEERG_4_6_1_1__3_Stage2MethaneProduction(G$116,F$68,H147,_xlfn.XLOOKUP($E166,$D$73:$D$81,$E$73:$E$81),$I$134)</f>
        <v>2.4752590847999998E-5</v>
      </c>
      <c r="I166" s="15" cm="1">
        <f t="array" ref="I166">MMS_Poultry_Methane_Equations.VEERG_4_6_1_1__3_Stage2MethaneProduction(H$116,G$68,I147,_xlfn.XLOOKUP($E166,$D$73:$D$81,$E$73:$E$81),$I$134)</f>
        <v>2.3167088639999993E-5</v>
      </c>
      <c r="J166" s="16"/>
      <c r="N166" s="15"/>
      <c r="O166" s="15" t="str">
        <f>INDEX(X_Table_Poultry_Stage2MMS_BeltManureRemoval,4,1)</f>
        <v>Digester / covered lagoons</v>
      </c>
      <c r="P166" s="15" cm="1">
        <f t="array" ref="P166">MMS_Poultry_Methane_Equations.VEERG_4_6_1_1__3_Stage2MethaneProduction(O$116,D$68,F147,_xlfn.XLOOKUP($O166,$N$73:$N$81,$O$73:$O$81),$I$134)</f>
        <v>2.2389479423999996E-5</v>
      </c>
      <c r="Q166" s="15" cm="1">
        <f t="array" ref="Q166">MMS_Poultry_Methane_Equations.VEERG_4_6_1_1__3_Stage2MethaneProduction(P$116,E$68,G147,_xlfn.XLOOKUP($O166,$N$73:$N$81,$O$73:$O$81),$I$134)</f>
        <v>2.3167088639999993E-5</v>
      </c>
      <c r="R166" s="15" cm="1">
        <f t="array" ref="R166">MMS_Poultry_Methane_Equations.VEERG_4_6_1_1__3_Stage2MethaneProduction(Q$116,F$68,H147,_xlfn.XLOOKUP($O166,$N$73:$N$81,$O$73:$O$81),$I$134)</f>
        <v>2.4752590847999998E-5</v>
      </c>
      <c r="S166" s="15" cm="1">
        <f t="array" ref="S166">MMS_Poultry_Methane_Equations.VEERG_4_6_1_1__3_Stage2MethaneProduction(R$116,G$68,I147,_xlfn.XLOOKUP($O166,$N$73:$N$81,$O$73:$O$81),$I$134)</f>
        <v>2.3167088639999993E-5</v>
      </c>
      <c r="T166" s="16"/>
    </row>
    <row r="167" spans="3:21" ht="20.100000000000001" customHeight="1" x14ac:dyDescent="0.2">
      <c r="D167" s="15"/>
      <c r="E167" s="15" t="str">
        <f>INDEX(X_Table_Poultry_Stage2MMS_BeltManureRemoval,5,1)</f>
        <v>Direct processing</v>
      </c>
      <c r="F167" s="15" cm="1">
        <f t="array" ref="F167">MMS_Poultry_Methane_Equations.VEERG_4_6_1_1__3_Stage2MethaneProduction(E$116,D$68,F148,_xlfn.XLOOKUP($E167,$D$73:$D$81,$E$73:$E$81),$I$134)</f>
        <v>0</v>
      </c>
      <c r="G167" s="15" cm="1">
        <f t="array" ref="G167">MMS_Poultry_Methane_Equations.VEERG_4_6_1_1__3_Stage2MethaneProduction(F$116,E$68,G148,_xlfn.XLOOKUP($E167,$D$73:$D$81,$E$73:$E$81),$I$134)</f>
        <v>0</v>
      </c>
      <c r="H167" s="15" cm="1">
        <f t="array" ref="H167">MMS_Poultry_Methane_Equations.VEERG_4_6_1_1__3_Stage2MethaneProduction(G$116,F$68,H148,_xlfn.XLOOKUP($E167,$D$73:$D$81,$E$73:$E$81),$I$134)</f>
        <v>0</v>
      </c>
      <c r="I167" s="15" cm="1">
        <f t="array" ref="I167">MMS_Poultry_Methane_Equations.VEERG_4_6_1_1__3_Stage2MethaneProduction(H$116,G$68,I148,_xlfn.XLOOKUP($E167,$D$73:$D$81,$E$73:$E$81),$I$134)</f>
        <v>0</v>
      </c>
      <c r="J167" s="16"/>
      <c r="N167" s="15"/>
      <c r="O167" s="15" t="str">
        <f>INDEX(X_Table_Poultry_Stage2MMS_BeltManureRemoval,5,1)</f>
        <v>Direct processing</v>
      </c>
      <c r="P167" s="15" cm="1">
        <f t="array" ref="P167">MMS_Poultry_Methane_Equations.VEERG_4_6_1_1__3_Stage2MethaneProduction(O$116,D$68,F148,_xlfn.XLOOKUP($O167,$N$73:$N$81,$O$73:$O$81),$I$134)</f>
        <v>0</v>
      </c>
      <c r="Q167" s="15" cm="1">
        <f t="array" ref="Q167">MMS_Poultry_Methane_Equations.VEERG_4_6_1_1__3_Stage2MethaneProduction(P$116,E$68,G148,_xlfn.XLOOKUP($O167,$N$73:$N$81,$O$73:$O$81),$I$134)</f>
        <v>0</v>
      </c>
      <c r="R167" s="15" cm="1">
        <f t="array" ref="R167">MMS_Poultry_Methane_Equations.VEERG_4_6_1_1__3_Stage2MethaneProduction(Q$116,F$68,H148,_xlfn.XLOOKUP($O167,$N$73:$N$81,$O$73:$O$81),$I$134)</f>
        <v>0</v>
      </c>
      <c r="S167" s="15" cm="1">
        <f t="array" ref="S167">MMS_Poultry_Methane_Equations.VEERG_4_6_1_1__3_Stage2MethaneProduction(R$116,G$68,I148,_xlfn.XLOOKUP($O167,$N$73:$N$81,$O$73:$O$81),$I$134)</f>
        <v>0</v>
      </c>
      <c r="T167" s="16"/>
    </row>
    <row r="168" spans="3:21" ht="20.100000000000001" customHeight="1" x14ac:dyDescent="0.2">
      <c r="D168" s="15"/>
      <c r="E168" s="15" t="str">
        <f>INDEX(X_Table_Poultry_Stage2MMS_BeltManureRemoval,5,1)</f>
        <v>Direct processing</v>
      </c>
      <c r="F168" s="15" cm="1">
        <f t="array" ref="F168">MMS_Poultry_Methane_Equations.VEERG_4_6_1_1__3_Stage2MethaneProduction(E$116,D$68,F149,_xlfn.XLOOKUP($E168,$D$73:$D$81,$E$73:$E$81),$I$134)</f>
        <v>0</v>
      </c>
      <c r="G168" s="15" cm="1">
        <f t="array" ref="G168">MMS_Poultry_Methane_Equations.VEERG_4_6_1_1__3_Stage2MethaneProduction(F$116,E$68,G149,_xlfn.XLOOKUP($E168,$D$73:$D$81,$E$73:$E$81),$I$134)</f>
        <v>0</v>
      </c>
      <c r="H168" s="15" cm="1">
        <f t="array" ref="H168">MMS_Poultry_Methane_Equations.VEERG_4_6_1_1__3_Stage2MethaneProduction(G$116,F$68,H149,_xlfn.XLOOKUP($E168,$D$73:$D$81,$E$73:$E$81),$I$134)</f>
        <v>0</v>
      </c>
      <c r="I168" s="15" cm="1">
        <f t="array" ref="I168">MMS_Poultry_Methane_Equations.VEERG_4_6_1_1__3_Stage2MethaneProduction(H$116,G$68,I149,_xlfn.XLOOKUP($E168,$D$73:$D$81,$E$73:$E$81),$I$134)</f>
        <v>0</v>
      </c>
      <c r="N168" s="15"/>
      <c r="O168" s="15" t="str">
        <f>INDEX(X_Table_Poultry_Stage2MMS_BeltManureRemoval,6,1)</f>
        <v>Direct application</v>
      </c>
      <c r="P168" s="15" cm="1">
        <f t="array" ref="P168">MMS_Poultry_Methane_Equations.VEERG_4_6_1_1__3_Stage2MethaneProduction(O$116,D$68,F149,_xlfn.XLOOKUP($O168,$N$73:$N$81,$O$73:$O$81),$I$134)</f>
        <v>0</v>
      </c>
      <c r="Q168" s="15" cm="1">
        <f t="array" ref="Q168">MMS_Poultry_Methane_Equations.VEERG_4_6_1_1__3_Stage2MethaneProduction(P$116,E$68,G149,_xlfn.XLOOKUP($O168,$N$73:$N$81,$O$73:$O$81),$I$134)</f>
        <v>0</v>
      </c>
      <c r="R168" s="15" cm="1">
        <f t="array" ref="R168">MMS_Poultry_Methane_Equations.VEERG_4_6_1_1__3_Stage2MethaneProduction(Q$116,F$68,H149,_xlfn.XLOOKUP($O168,$N$73:$N$81,$O$73:$O$81),$I$134)</f>
        <v>0</v>
      </c>
      <c r="S168" s="15" cm="1">
        <f t="array" ref="S168">MMS_Poultry_Methane_Equations.VEERG_4_6_1_1__3_Stage2MethaneProduction(R$116,G$68,I149,_xlfn.XLOOKUP($O168,$N$73:$N$81,$O$73:$O$81),$I$134)</f>
        <v>0</v>
      </c>
    </row>
    <row r="169" spans="3:21" ht="20.100000000000001" customHeight="1" x14ac:dyDescent="0.2">
      <c r="D169" s="15" t="str">
        <f>INDEX(X_Table_Poultry_Stage1MMS,4,1)</f>
        <v>Manure stored in house</v>
      </c>
      <c r="E169" s="15" t="str">
        <f>INDEX(X_Table_Poultry_Stage2MMS_ManureStoredInHouse,2,1)</f>
        <v>Solid storage</v>
      </c>
      <c r="F169" s="15" cm="1">
        <f t="array" ref="F169">MMS_Poultry_Methane_Equations.VEERG_4_6_1_1__3_Stage2MethaneProduction(E$117,D$68,F150,_xlfn.XLOOKUP($E169,$D$73:$D$81,$E$73:$E$81),$I$134)</f>
        <v>3.5823167078399993E-6</v>
      </c>
      <c r="G169" s="15" cm="1">
        <f t="array" ref="G169">MMS_Poultry_Methane_Equations.VEERG_4_6_1_1__3_Stage2MethaneProduction(F$117,E$68,G150,_xlfn.XLOOKUP($E169,$D$73:$D$81,$E$73:$E$81),$I$134)</f>
        <v>3.7067341823999979E-6</v>
      </c>
      <c r="H169" s="15" cm="1">
        <f t="array" ref="H169">MMS_Poultry_Methane_Equations.VEERG_4_6_1_1__3_Stage2MethaneProduction(G$117,F$68,H150,_xlfn.XLOOKUP($E169,$D$73:$D$81,$E$73:$E$81),$I$134)</f>
        <v>3.9604145356799999E-6</v>
      </c>
      <c r="I169" s="15" cm="1">
        <f t="array" ref="I169">MMS_Poultry_Methane_Equations.VEERG_4_6_1_1__3_Stage2MethaneProduction(H$117,G$68,I150,_xlfn.XLOOKUP($E169,$D$73:$D$81,$E$73:$E$81),$I$134)</f>
        <v>3.7067341823999979E-6</v>
      </c>
      <c r="J169" s="16"/>
      <c r="N169" s="15" t="str">
        <f>INDEX(X_Table_Poultry_Stage1MMS,4,1)</f>
        <v>Manure stored in house</v>
      </c>
      <c r="O169" s="15" t="str">
        <f>INDEX(X_Table_Poultry_Stage2MMS_ManureStoredInHouse,2,1)</f>
        <v>Solid storage</v>
      </c>
      <c r="P169" s="15" cm="1">
        <f t="array" ref="P169">MMS_Poultry_Methane_Equations.VEERG_4_6_1_1__3_Stage2MethaneProduction(O$117,D$68,F150,_xlfn.XLOOKUP($O169,$N$73:$N$81,$O$73:$O$81),$I$134)</f>
        <v>3.5823167078399993E-6</v>
      </c>
      <c r="Q169" s="15" cm="1">
        <f t="array" ref="Q169">MMS_Poultry_Methane_Equations.VEERG_4_6_1_1__3_Stage2MethaneProduction(P$117,E$68,G150,_xlfn.XLOOKUP($O169,$N$73:$N$81,$O$73:$O$81),$I$134)</f>
        <v>3.7067341823999979E-6</v>
      </c>
      <c r="R169" s="15" cm="1">
        <f t="array" ref="R169">MMS_Poultry_Methane_Equations.VEERG_4_6_1_1__3_Stage2MethaneProduction(Q$117,F$68,H150,_xlfn.XLOOKUP($O169,$N$73:$N$81,$O$73:$O$81),$I$134)</f>
        <v>3.9604145356799999E-6</v>
      </c>
      <c r="S169" s="15" cm="1">
        <f t="array" ref="S169">MMS_Poultry_Methane_Equations.VEERG_4_6_1_1__3_Stage2MethaneProduction(R$117,G$68,I150,_xlfn.XLOOKUP($O169,$N$73:$N$81,$O$73:$O$81),$I$134)</f>
        <v>3.7067341823999979E-6</v>
      </c>
      <c r="T169" s="16"/>
    </row>
    <row r="170" spans="3:21" ht="20.100000000000001" customHeight="1" x14ac:dyDescent="0.2">
      <c r="D170" s="15"/>
      <c r="E170" s="15" t="str">
        <f>INDEX(X_Table_Poultry_Stage2MMS_ManureStoredInHouse,3,1)</f>
        <v>Composting (passive windrow)</v>
      </c>
      <c r="F170" s="15" cm="1">
        <f t="array" ref="F170">MMS_Poultry_Methane_Equations.VEERG_4_6_1_1__3_Stage2MethaneProduction(E$117,D$68,F151,_xlfn.XLOOKUP($E170,$D$73:$D$81,$E$73:$E$81),$I$134)</f>
        <v>1.7911583539199997E-6</v>
      </c>
      <c r="G170" s="15" cm="1">
        <f t="array" ref="G170">MMS_Poultry_Methane_Equations.VEERG_4_6_1_1__3_Stage2MethaneProduction(F$117,E$68,G151,_xlfn.XLOOKUP($E170,$D$73:$D$81,$E$73:$E$81),$I$134)</f>
        <v>1.8533670911999989E-6</v>
      </c>
      <c r="H170" s="15" cm="1">
        <f t="array" ref="H170">MMS_Poultry_Methane_Equations.VEERG_4_6_1_1__3_Stage2MethaneProduction(G$117,F$68,H151,_xlfn.XLOOKUP($E170,$D$73:$D$81,$E$73:$E$81),$I$134)</f>
        <v>1.9802072678399999E-6</v>
      </c>
      <c r="I170" s="15" cm="1">
        <f t="array" ref="I170">MMS_Poultry_Methane_Equations.VEERG_4_6_1_1__3_Stage2MethaneProduction(H$117,G$68,I151,_xlfn.XLOOKUP($E170,$D$73:$D$81,$E$73:$E$81),$I$134)</f>
        <v>1.8533670911999989E-6</v>
      </c>
      <c r="J170" s="16"/>
      <c r="N170" s="15"/>
      <c r="O170" s="15" t="str">
        <f>INDEX(X_Table_Poultry_Stage2MMS_ManureStoredInHouse,3,1)</f>
        <v>Composting (passive windrow)</v>
      </c>
      <c r="P170" s="15" cm="1">
        <f t="array" ref="P170">MMS_Poultry_Methane_Equations.VEERG_4_6_1_1__3_Stage2MethaneProduction(O$117,D$68,F151,_xlfn.XLOOKUP($O170,$N$73:$N$81,$O$73:$O$81),$I$134)</f>
        <v>8.9557917695999983E-7</v>
      </c>
      <c r="Q170" s="15" cm="1">
        <f t="array" ref="Q170">MMS_Poultry_Methane_Equations.VEERG_4_6_1_1__3_Stage2MethaneProduction(P$117,E$68,G151,_xlfn.XLOOKUP($O170,$N$73:$N$81,$O$73:$O$81),$I$134)</f>
        <v>9.2668354559999947E-7</v>
      </c>
      <c r="R170" s="15" cm="1">
        <f t="array" ref="R170">MMS_Poultry_Methane_Equations.VEERG_4_6_1_1__3_Stage2MethaneProduction(Q$117,F$68,H151,_xlfn.XLOOKUP($O170,$N$73:$N$81,$O$73:$O$81),$I$134)</f>
        <v>9.9010363391999997E-7</v>
      </c>
      <c r="S170" s="15" cm="1">
        <f t="array" ref="S170">MMS_Poultry_Methane_Equations.VEERG_4_6_1_1__3_Stage2MethaneProduction(R$117,G$68,I151,_xlfn.XLOOKUP($O170,$N$73:$N$81,$O$73:$O$81),$I$134)</f>
        <v>9.2668354559999947E-7</v>
      </c>
      <c r="T170" s="16"/>
    </row>
    <row r="171" spans="3:21" ht="20.100000000000001" customHeight="1" x14ac:dyDescent="0.2">
      <c r="D171" s="15"/>
      <c r="E171" s="15" t="str">
        <f>INDEX(X_Table_Poultry_Stage2MMS_ManureStoredInHouse,4,1)</f>
        <v>Digester / covered lagoons</v>
      </c>
      <c r="F171" s="15" cm="1">
        <f t="array" ref="F171">MMS_Poultry_Methane_Equations.VEERG_4_6_1_1__3_Stage2MethaneProduction(E$117,D$68,F152,_xlfn.XLOOKUP($E171,$D$73:$D$81,$E$73:$E$81),$I$134)</f>
        <v>1.7911583539199998E-5</v>
      </c>
      <c r="G171" s="15" cm="1">
        <f t="array" ref="G171">MMS_Poultry_Methane_Equations.VEERG_4_6_1_1__3_Stage2MethaneProduction(F$117,E$68,G152,_xlfn.XLOOKUP($E171,$D$73:$D$81,$E$73:$E$81),$I$134)</f>
        <v>1.8533670911999991E-5</v>
      </c>
      <c r="H171" s="15" cm="1">
        <f t="array" ref="H171">MMS_Poultry_Methane_Equations.VEERG_4_6_1_1__3_Stage2MethaneProduction(G$117,F$68,H152,_xlfn.XLOOKUP($E171,$D$73:$D$81,$E$73:$E$81),$I$134)</f>
        <v>1.9802072678399998E-5</v>
      </c>
      <c r="I171" s="15" cm="1">
        <f t="array" ref="I171">MMS_Poultry_Methane_Equations.VEERG_4_6_1_1__3_Stage2MethaneProduction(H$117,G$68,I152,_xlfn.XLOOKUP($E171,$D$73:$D$81,$E$73:$E$81),$I$134)</f>
        <v>1.8533670911999991E-5</v>
      </c>
      <c r="J171" s="16"/>
      <c r="N171" s="15"/>
      <c r="O171" s="15" t="str">
        <f>INDEX(X_Table_Poultry_Stage2MMS_ManureStoredInHouse,4,1)</f>
        <v>Digester / covered lagoons</v>
      </c>
      <c r="P171" s="15" cm="1">
        <f t="array" ref="P171">MMS_Poultry_Methane_Equations.VEERG_4_6_1_1__3_Stage2MethaneProduction(O$117,D$68,F152,_xlfn.XLOOKUP($O171,$N$73:$N$81,$O$73:$O$81),$I$134)</f>
        <v>1.7911583539199998E-5</v>
      </c>
      <c r="Q171" s="15" cm="1">
        <f t="array" ref="Q171">MMS_Poultry_Methane_Equations.VEERG_4_6_1_1__3_Stage2MethaneProduction(P$117,E$68,G152,_xlfn.XLOOKUP($O171,$N$73:$N$81,$O$73:$O$81),$I$134)</f>
        <v>1.8533670911999991E-5</v>
      </c>
      <c r="R171" s="15" cm="1">
        <f t="array" ref="R171">MMS_Poultry_Methane_Equations.VEERG_4_6_1_1__3_Stage2MethaneProduction(Q$117,F$68,H152,_xlfn.XLOOKUP($O171,$N$73:$N$81,$O$73:$O$81),$I$134)</f>
        <v>1.9802072678399998E-5</v>
      </c>
      <c r="S171" s="15" cm="1">
        <f t="array" ref="S171">MMS_Poultry_Methane_Equations.VEERG_4_6_1_1__3_Stage2MethaneProduction(R$117,G$68,I152,_xlfn.XLOOKUP($O171,$N$73:$N$81,$O$73:$O$81),$I$134)</f>
        <v>1.8533670911999991E-5</v>
      </c>
      <c r="T171" s="16"/>
    </row>
    <row r="172" spans="3:21" ht="20.100000000000001" customHeight="1" x14ac:dyDescent="0.2">
      <c r="D172" s="15"/>
      <c r="E172" s="15" t="str">
        <f>INDEX(X_Table_Poultry_Stage2MMS_ManureStoredInHouse,5,1)</f>
        <v>Direct processing</v>
      </c>
      <c r="F172" s="15" cm="1">
        <f t="array" ref="F172">MMS_Poultry_Methane_Equations.VEERG_4_6_1_1__3_Stage2MethaneProduction(E$117,D$68,F153,_xlfn.XLOOKUP($E172,$D$73:$D$81,$E$73:$E$81),$I$134)</f>
        <v>0</v>
      </c>
      <c r="G172" s="15" cm="1">
        <f t="array" ref="G172">MMS_Poultry_Methane_Equations.VEERG_4_6_1_1__3_Stage2MethaneProduction(F$117,E$68,G153,_xlfn.XLOOKUP($E172,$D$73:$D$81,$E$73:$E$81),$I$134)</f>
        <v>0</v>
      </c>
      <c r="H172" s="15" cm="1">
        <f t="array" ref="H172">MMS_Poultry_Methane_Equations.VEERG_4_6_1_1__3_Stage2MethaneProduction(G$117,F$68,H153,_xlfn.XLOOKUP($E172,$D$73:$D$81,$E$73:$E$81),$I$134)</f>
        <v>0</v>
      </c>
      <c r="I172" s="15" cm="1">
        <f t="array" ref="I172">MMS_Poultry_Methane_Equations.VEERG_4_6_1_1__3_Stage2MethaneProduction(H$117,G$68,I153,_xlfn.XLOOKUP($E172,$D$73:$D$81,$E$73:$E$81),$I$134)</f>
        <v>0</v>
      </c>
      <c r="J172" s="16"/>
      <c r="N172" s="15"/>
      <c r="O172" s="15" t="str">
        <f>INDEX(X_Table_Poultry_Stage2MMS_ManureStoredInHouse,5,1)</f>
        <v>Direct processing</v>
      </c>
      <c r="P172" s="15" cm="1">
        <f t="array" ref="P172">MMS_Poultry_Methane_Equations.VEERG_4_6_1_1__3_Stage2MethaneProduction(O$117,D$68,F153,_xlfn.XLOOKUP($O172,$N$73:$N$81,$O$73:$O$81),$I$134)</f>
        <v>0</v>
      </c>
      <c r="Q172" s="15" cm="1">
        <f t="array" ref="Q172">MMS_Poultry_Methane_Equations.VEERG_4_6_1_1__3_Stage2MethaneProduction(P$117,E$68,G153,_xlfn.XLOOKUP($O172,$N$73:$N$81,$O$73:$O$81),$I$134)</f>
        <v>0</v>
      </c>
      <c r="R172" s="15" cm="1">
        <f t="array" ref="R172">MMS_Poultry_Methane_Equations.VEERG_4_6_1_1__3_Stage2MethaneProduction(Q$117,F$68,H153,_xlfn.XLOOKUP($O172,$N$73:$N$81,$O$73:$O$81),$I$134)</f>
        <v>0</v>
      </c>
      <c r="S172" s="15" cm="1">
        <f t="array" ref="S172">MMS_Poultry_Methane_Equations.VEERG_4_6_1_1__3_Stage2MethaneProduction(R$117,G$68,I153,_xlfn.XLOOKUP($O172,$N$73:$N$81,$O$73:$O$81),$I$134)</f>
        <v>0</v>
      </c>
      <c r="T172" s="16"/>
    </row>
    <row r="173" spans="3:21" ht="20.100000000000001" customHeight="1" x14ac:dyDescent="0.2">
      <c r="D173" s="15"/>
      <c r="E173" s="15" t="str">
        <f>INDEX(X_Table_Poultry_Stage2MMS_ManureStoredInHouse,6,1)</f>
        <v>Direct application</v>
      </c>
      <c r="F173" s="15" cm="1">
        <f t="array" ref="F173">MMS_Poultry_Methane_Equations.VEERG_4_6_1_1__3_Stage2MethaneProduction(E$117,D$68,F154,_xlfn.XLOOKUP($E173,$D$73:$D$81,$E$73:$E$81),$I$134)</f>
        <v>0</v>
      </c>
      <c r="G173" s="15" cm="1">
        <f t="array" ref="G173">MMS_Poultry_Methane_Equations.VEERG_4_6_1_1__3_Stage2MethaneProduction(F$117,E$68,G154,_xlfn.XLOOKUP($E173,$D$73:$D$81,$E$73:$E$81),$I$134)</f>
        <v>0</v>
      </c>
      <c r="H173" s="15" cm="1">
        <f t="array" ref="H173">MMS_Poultry_Methane_Equations.VEERG_4_6_1_1__3_Stage2MethaneProduction(G$117,F$68,H154,_xlfn.XLOOKUP($E173,$D$73:$D$81,$E$73:$E$81),$I$134)</f>
        <v>0</v>
      </c>
      <c r="I173" s="15" cm="1">
        <f t="array" ref="I173">MMS_Poultry_Methane_Equations.VEERG_4_6_1_1__3_Stage2MethaneProduction(H$117,G$68,I154,_xlfn.XLOOKUP($E173,$D$73:$D$81,$E$73:$E$81),$I$134)</f>
        <v>0</v>
      </c>
      <c r="N173" s="15"/>
      <c r="O173" s="15" t="str">
        <f>INDEX(X_Table_Poultry_Stage2MMS_ManureStoredInHouse,6,1)</f>
        <v>Direct application</v>
      </c>
      <c r="P173" s="15" cm="1">
        <f t="array" ref="P173">MMS_Poultry_Methane_Equations.VEERG_4_6_1_1__3_Stage2MethaneProduction(O$117,D$68,F154,_xlfn.XLOOKUP($O173,$N$73:$N$81,$O$73:$O$81),$I$134)</f>
        <v>0</v>
      </c>
      <c r="Q173" s="15" cm="1">
        <f t="array" ref="Q173">MMS_Poultry_Methane_Equations.VEERG_4_6_1_1__3_Stage2MethaneProduction(P$117,E$68,G154,_xlfn.XLOOKUP($O173,$N$73:$N$81,$O$73:$O$81),$I$134)</f>
        <v>0</v>
      </c>
      <c r="R173" s="15" cm="1">
        <f t="array" ref="R173">MMS_Poultry_Methane_Equations.VEERG_4_6_1_1__3_Stage2MethaneProduction(Q$117,F$68,H154,_xlfn.XLOOKUP($O173,$N$73:$N$81,$O$73:$O$81),$I$134)</f>
        <v>0</v>
      </c>
      <c r="S173" s="15" cm="1">
        <f t="array" ref="S173">MMS_Poultry_Methane_Equations.VEERG_4_6_1_1__3_Stage2MethaneProduction(R$117,G$68,I154,_xlfn.XLOOKUP($O173,$N$73:$N$81,$O$73:$O$81),$I$134)</f>
        <v>0</v>
      </c>
    </row>
    <row r="176" spans="3:21" ht="20.100000000000001" customHeight="1" x14ac:dyDescent="0.2">
      <c r="C176" s="83"/>
      <c r="D176" s="83"/>
      <c r="E176" s="83"/>
      <c r="F176" s="83"/>
      <c r="G176" s="83"/>
      <c r="H176" s="83"/>
      <c r="I176" s="83"/>
      <c r="J176" s="83"/>
      <c r="K176" s="83"/>
      <c r="M176" s="83"/>
      <c r="N176" s="83"/>
      <c r="O176" s="83"/>
      <c r="P176" s="83"/>
      <c r="Q176" s="83"/>
      <c r="R176" s="83"/>
      <c r="S176" s="83"/>
      <c r="T176" s="83"/>
      <c r="U176" s="83"/>
    </row>
    <row r="177" spans="1:10" ht="20.100000000000001" customHeight="1" x14ac:dyDescent="0.2">
      <c r="D177" s="2" t="str" cm="1">
        <f t="array" ref="D177">MMS_Poultry_Methane_Equations.VEERG_4_6_1_1__1_TotalAnnualMethaneEmissions_Title()</f>
        <v>Total annual methane emissions from manure management</v>
      </c>
    </row>
    <row r="178" spans="1:10" ht="20.100000000000001" customHeight="1" x14ac:dyDescent="0.2">
      <c r="D178" s="17" t="str" cm="1">
        <f t="array" ref="D178">MMS_Poultry_Methane_Equations.VEERG_4_6_1_1__1_TotalAnnualMethaneEmissions_Source()</f>
        <v>VEERG 2026: 4.4.1.1, Equation (1)</v>
      </c>
    </row>
    <row r="179" spans="1:10" ht="20.100000000000001" customHeight="1" x14ac:dyDescent="0.2">
      <c r="D179" s="112" t="s">
        <v>328</v>
      </c>
      <c r="E179" s="112" t="str" cm="1">
        <f t="array" aca="1" ref="E179" ca="1">Common_InputFunctions.Utility_DisplayFunctionName(F212)</f>
        <v>=MMS_Poultry_Methane_Equations.VEERG_4_6_1_1__1_TotalAnnualMethaneEmissions</v>
      </c>
    </row>
    <row r="182" spans="1:10" ht="20.100000000000001" customHeight="1" x14ac:dyDescent="0.2">
      <c r="D182" s="75" t="s">
        <v>329</v>
      </c>
      <c r="E182" s="1" t="str" cm="1">
        <f t="array" ref="E182">MMS_Poultry_Methane_Equations.VEERG_4_6_1_1__1_TotalAnnualMethaneEmissions_Variable()</f>
        <v>E_CH4</v>
      </c>
    </row>
    <row r="183" spans="1:10" ht="20.100000000000001" customHeight="1" x14ac:dyDescent="0.2">
      <c r="D183" s="75" t="s">
        <v>118</v>
      </c>
      <c r="E183" s="9" t="str" cm="1">
        <f t="array" ref="E183">MMS_Poultry_Methane_Equations.VEERG_4_6_1_1__1_TotalAnnualMethaneEmissions_Unit()</f>
        <v>t CH4</v>
      </c>
    </row>
    <row r="185" spans="1:10" ht="20.100000000000001" customHeight="1" x14ac:dyDescent="0.2">
      <c r="D185" s="113" t="str" cm="1">
        <f t="array" ref="D185:E187">_xlfn.CHOOSECOLS(MMS_Poultry_Methane_Equations.VEERG_4_6_1_1__1_TotalAnnualMethaneEmissions_Arguments(),1,2)</f>
        <v>D_jk</v>
      </c>
      <c r="E185" s="113" t="str">
        <v>duration of stay of each class and subclass of poultry</v>
      </c>
      <c r="F185" s="113"/>
      <c r="G185" s="113" t="str" cm="1">
        <f t="array" ref="G185:H187">_xlfn.CHOOSECOLS(MMS_Poultry_Methane_Equations.VEERG_4_6_1_1__1_TotalAnnualMethaneEmissions_Arguments(),3,4)</f>
        <v>days</v>
      </c>
      <c r="H185" s="114" t="str">
        <v>Input</v>
      </c>
      <c r="I185" s="116" t="str" cm="1">
        <f t="array" aca="1" ref="I185" ca="1">HYPERLINK(Common_InputFunctions.Utility_SourceHyperlink($D$189),$D$189)</f>
        <v>Table_D_j_k</v>
      </c>
      <c r="J185" s="116"/>
    </row>
    <row r="186" spans="1:10" ht="20.100000000000001" customHeight="1" x14ac:dyDescent="0.2">
      <c r="D186" s="113" t="str">
        <v>M_jkmT</v>
      </c>
      <c r="E186" s="113" t="str">
        <v>methane production from manure per class, subclass, MMS, and treatment stage</v>
      </c>
      <c r="F186" s="113"/>
      <c r="G186" s="113" t="str">
        <v>kg CH4/bird/day</v>
      </c>
      <c r="H186" s="115" t="str">
        <v>Calculated from 4.6.1.1 (2)(3)</v>
      </c>
      <c r="I186" s="116" t="str" cm="1">
        <f t="array" aca="1" ref="I186" ca="1">HYPERLINK(Common_InputFunctions.Utility_SourceHyperlink($D$83),$D$83)</f>
        <v>M1_Table_M_j_k_m_T-1</v>
      </c>
      <c r="J186" s="116" t="str" cm="1">
        <f t="array" aca="1" ref="J186" ca="1">HYPERLINK(Common_InputFunctions.Utility_SourceHyperlink($D$156),$D$156)</f>
        <v>M1_Table_M_j_k_m_T-2</v>
      </c>
    </row>
    <row r="187" spans="1:10" ht="20.100000000000001" customHeight="1" x14ac:dyDescent="0.2">
      <c r="D187" s="113" t="str">
        <v>N_jk</v>
      </c>
      <c r="E187" s="113" t="str">
        <v>numbers of poultry in each class and subclass</v>
      </c>
      <c r="F187" s="113"/>
      <c r="G187" s="113" t="str">
        <v>birds</v>
      </c>
      <c r="H187" s="114" t="str">
        <v>Input</v>
      </c>
      <c r="I187" s="116" t="str" cm="1">
        <f t="array" aca="1" ref="I187" ca="1">HYPERLINK(Common_InputFunctions.Utility_SourceHyperlink($D$194),$D$194)</f>
        <v>Table_N_j_k</v>
      </c>
      <c r="J187" s="116"/>
    </row>
    <row r="188" spans="1:10" ht="20.100000000000001" customHeight="1" x14ac:dyDescent="0.2">
      <c r="A188" s="79" t="str">
        <f>HYPERLINK("#A1", "▲ Back to top")</f>
        <v>▲ Back to top</v>
      </c>
    </row>
    <row r="189" spans="1:10" ht="20.100000000000001" customHeight="1" x14ac:dyDescent="0.2">
      <c r="D189" s="118" t="s">
        <v>368</v>
      </c>
      <c r="G189" s="112"/>
    </row>
    <row r="190" spans="1:10" ht="20.100000000000001" customHeight="1" x14ac:dyDescent="0.2">
      <c r="D190" s="119" t="s">
        <v>369</v>
      </c>
    </row>
    <row r="191" spans="1:10" ht="20.100000000000001" customHeight="1" x14ac:dyDescent="0.2">
      <c r="D191" s="78" t="s">
        <v>297</v>
      </c>
      <c r="E191" s="78" t="s">
        <v>298</v>
      </c>
      <c r="F191" s="78" t="s">
        <v>299</v>
      </c>
      <c r="G191" s="78" t="s">
        <v>300</v>
      </c>
    </row>
    <row r="192" spans="1:10" ht="20.100000000000001" customHeight="1" x14ac:dyDescent="0.2">
      <c r="D192" s="15">
        <f>INDEX(X_Table_Poultry_Movement,2,2)</f>
        <v>365</v>
      </c>
      <c r="E192" s="15">
        <f>INDEX(X_Table_Poultry_Movement,2,3)</f>
        <v>365</v>
      </c>
      <c r="F192" s="15">
        <f>INDEX(X_Table_Poultry_Movement,2,4)</f>
        <v>365</v>
      </c>
      <c r="G192" s="15">
        <f>INDEX(X_Table_Poultry_Movement,2,5)</f>
        <v>365</v>
      </c>
      <c r="H192" s="16" t="str">
        <f>G185</f>
        <v>days</v>
      </c>
    </row>
    <row r="194" spans="4:20" ht="20.100000000000001" customHeight="1" x14ac:dyDescent="0.2">
      <c r="D194" s="118" t="s">
        <v>370</v>
      </c>
      <c r="G194" s="112"/>
    </row>
    <row r="195" spans="4:20" ht="20.100000000000001" customHeight="1" x14ac:dyDescent="0.2">
      <c r="D195" s="119" t="s">
        <v>371</v>
      </c>
    </row>
    <row r="196" spans="4:20" ht="20.100000000000001" customHeight="1" x14ac:dyDescent="0.2">
      <c r="D196" s="78" t="s">
        <v>297</v>
      </c>
      <c r="E196" s="78" t="s">
        <v>298</v>
      </c>
      <c r="F196" s="78" t="s">
        <v>299</v>
      </c>
      <c r="G196" s="78" t="s">
        <v>300</v>
      </c>
    </row>
    <row r="197" spans="4:20" ht="20.100000000000001" customHeight="1" x14ac:dyDescent="0.2">
      <c r="D197" s="15">
        <f>INDEX(X_Table_Poultry_Movement,3,2)</f>
        <v>100</v>
      </c>
      <c r="E197" s="15">
        <f>INDEX(X_Table_Poultry_Movement,3,3)</f>
        <v>100</v>
      </c>
      <c r="F197" s="15">
        <f>INDEX(X_Table_Poultry_Movement,3,4)</f>
        <v>100</v>
      </c>
      <c r="G197" s="15">
        <f>INDEX(X_Table_Poultry_Movement,3,5)</f>
        <v>100</v>
      </c>
      <c r="H197" s="16" t="str">
        <f>G187</f>
        <v>birds</v>
      </c>
    </row>
    <row r="199" spans="4:20" ht="20.100000000000001" customHeight="1" x14ac:dyDescent="0.2">
      <c r="D199" s="118" t="s">
        <v>372</v>
      </c>
      <c r="N199" s="118" t="s">
        <v>373</v>
      </c>
    </row>
    <row r="200" spans="4:20" ht="20.100000000000001" customHeight="1" x14ac:dyDescent="0.2">
      <c r="D200" s="119" t="s">
        <v>374</v>
      </c>
      <c r="N200" s="119" t="s">
        <v>375</v>
      </c>
    </row>
    <row r="201" spans="4:20" ht="20.100000000000001" customHeight="1" x14ac:dyDescent="0.2">
      <c r="D201" s="120" t="s">
        <v>314</v>
      </c>
      <c r="E201" s="120" t="s">
        <v>318</v>
      </c>
      <c r="F201" s="120" t="s">
        <v>297</v>
      </c>
      <c r="G201" s="120" t="s">
        <v>298</v>
      </c>
      <c r="H201" s="120" t="s">
        <v>299</v>
      </c>
      <c r="I201" s="120" t="s">
        <v>300</v>
      </c>
      <c r="N201" s="120" t="s">
        <v>314</v>
      </c>
      <c r="O201" s="120" t="s">
        <v>318</v>
      </c>
      <c r="P201" s="120" t="s">
        <v>297</v>
      </c>
      <c r="Q201" s="120" t="s">
        <v>298</v>
      </c>
      <c r="R201" s="120" t="s">
        <v>299</v>
      </c>
      <c r="S201" s="120" t="s">
        <v>300</v>
      </c>
    </row>
    <row r="202" spans="4:20" ht="20.100000000000001" customHeight="1" x14ac:dyDescent="0.2">
      <c r="D202" s="15" t="str">
        <f>INDEX(X_Table_Poultry_Stage1MMS,2,1)</f>
        <v>Poultry manure with bedding</v>
      </c>
      <c r="E202" s="15" t="s">
        <v>124</v>
      </c>
      <c r="F202" s="15" cm="1">
        <f t="array" ref="F202">MMS_Poultry_Methane_Equations.VEERG_4_6_1_1__1_TotalAnnualMethaneEmissions(D$192, E86, D$197)</f>
        <v>6.1291199923199972E-4</v>
      </c>
      <c r="G202" s="15" cm="1">
        <f t="array" ref="G202">MMS_Poultry_Methane_Equations.VEERG_4_6_1_1__1_TotalAnnualMethaneEmissions(E$192, F86, E$197)</f>
        <v>6.3419905151999964E-4</v>
      </c>
      <c r="H202" s="15" cm="1">
        <f t="array" ref="H202">MMS_Poultry_Methane_Equations.VEERG_4_6_1_1__1_TotalAnnualMethaneEmissions(F$192, G86, F$197)</f>
        <v>6.776021744639998E-4</v>
      </c>
      <c r="I202" s="15" cm="1">
        <f t="array" ref="I202">MMS_Poultry_Methane_Equations.VEERG_4_6_1_1__1_TotalAnnualMethaneEmissions(G$192, H86, G$197)</f>
        <v>6.3419905151999964E-4</v>
      </c>
      <c r="J202" s="16" t="str">
        <f>$E$183</f>
        <v>t CH4</v>
      </c>
      <c r="N202" s="15" t="str">
        <f>INDEX(X_Table_Poultry_Stage1MMS,2,1)</f>
        <v>Poultry manure with bedding</v>
      </c>
      <c r="O202" s="15" t="s">
        <v>124</v>
      </c>
      <c r="P202" s="15" cm="1">
        <f t="array" ref="P202">MMS_Poultry_Methane_Equations.VEERG_4_6_1_1__1_TotalAnnualMethaneEmissions(D$192, O86, D$197)</f>
        <v>6.1291199923199972E-4</v>
      </c>
      <c r="Q202" s="15" cm="1">
        <f t="array" ref="Q202">MMS_Poultry_Methane_Equations.VEERG_4_6_1_1__1_TotalAnnualMethaneEmissions(E$192, P86, E$197)</f>
        <v>6.3419905151999964E-4</v>
      </c>
      <c r="R202" s="15" cm="1">
        <f t="array" ref="R202">MMS_Poultry_Methane_Equations.VEERG_4_6_1_1__1_TotalAnnualMethaneEmissions(F$192, Q86, F$197)</f>
        <v>6.776021744639998E-4</v>
      </c>
      <c r="S202" s="15" cm="1">
        <f t="array" ref="S202">MMS_Poultry_Methane_Equations.VEERG_4_6_1_1__1_TotalAnnualMethaneEmissions(G$192, R86, G$197)</f>
        <v>6.3419905151999964E-4</v>
      </c>
      <c r="T202" s="16" t="str">
        <f>$E$183</f>
        <v>t CH4</v>
      </c>
    </row>
    <row r="203" spans="4:20" ht="20.100000000000001" customHeight="1" x14ac:dyDescent="0.2">
      <c r="D203" s="15" t="str">
        <f>INDEX(X_Table_Poultry_Stage1MMS,3,1)</f>
        <v>Belt manure removal</v>
      </c>
      <c r="E203" s="15" t="s">
        <v>124</v>
      </c>
      <c r="F203" s="15" cm="1">
        <f t="array" ref="F203">MMS_Poultry_Methane_Equations.VEERG_4_6_1_1__1_TotalAnnualMethaneEmissions(D$192, E87, D$197)</f>
        <v>6.1291199923199972E-4</v>
      </c>
      <c r="G203" s="15" cm="1">
        <f t="array" ref="G203">MMS_Poultry_Methane_Equations.VEERG_4_6_1_1__1_TotalAnnualMethaneEmissions(E$192, F87, E$197)</f>
        <v>6.3419905151999964E-4</v>
      </c>
      <c r="H203" s="15" cm="1">
        <f t="array" ref="H203">MMS_Poultry_Methane_Equations.VEERG_4_6_1_1__1_TotalAnnualMethaneEmissions(F$192, G87, F$197)</f>
        <v>6.776021744639998E-4</v>
      </c>
      <c r="I203" s="15" cm="1">
        <f t="array" ref="I203">MMS_Poultry_Methane_Equations.VEERG_4_6_1_1__1_TotalAnnualMethaneEmissions(G$192, H87, G$197)</f>
        <v>6.3419905151999964E-4</v>
      </c>
      <c r="J203" s="16"/>
      <c r="N203" s="15" t="str">
        <f>INDEX(X_Table_Poultry_Stage1MMS,3,1)</f>
        <v>Belt manure removal</v>
      </c>
      <c r="O203" s="15" t="s">
        <v>124</v>
      </c>
      <c r="P203" s="15" cm="1">
        <f t="array" ref="P203">MMS_Poultry_Methane_Equations.VEERG_4_6_1_1__1_TotalAnnualMethaneEmissions(D$192, O87, D$197)</f>
        <v>6.1291199923199972E-4</v>
      </c>
      <c r="Q203" s="15" cm="1">
        <f t="array" ref="Q203">MMS_Poultry_Methane_Equations.VEERG_4_6_1_1__1_TotalAnnualMethaneEmissions(E$192, P87, E$197)</f>
        <v>6.3419905151999964E-4</v>
      </c>
      <c r="R203" s="15" cm="1">
        <f t="array" ref="R203">MMS_Poultry_Methane_Equations.VEERG_4_6_1_1__1_TotalAnnualMethaneEmissions(F$192, Q87, F$197)</f>
        <v>6.776021744639998E-4</v>
      </c>
      <c r="S203" s="15" cm="1">
        <f t="array" ref="S203">MMS_Poultry_Methane_Equations.VEERG_4_6_1_1__1_TotalAnnualMethaneEmissions(G$192, R87, G$197)</f>
        <v>6.3419905151999964E-4</v>
      </c>
      <c r="T203" s="16"/>
    </row>
    <row r="204" spans="4:20" ht="20.100000000000001" customHeight="1" x14ac:dyDescent="0.2">
      <c r="D204" s="15" t="str">
        <f>INDEX(X_Table_Poultry_Stage1MMS,4,1)</f>
        <v>Manure stored in house</v>
      </c>
      <c r="E204" s="15" t="s">
        <v>124</v>
      </c>
      <c r="F204" s="15" cm="1">
        <f t="array" ref="F204">MMS_Poultry_Methane_Equations.VEERG_4_6_1_1__1_TotalAnnualMethaneEmissions(D$192, E88, D$197)</f>
        <v>6.1291199923199972E-4</v>
      </c>
      <c r="G204" s="15" cm="1">
        <f t="array" ref="G204">MMS_Poultry_Methane_Equations.VEERG_4_6_1_1__1_TotalAnnualMethaneEmissions(E$192, F88, E$197)</f>
        <v>6.3419905151999964E-4</v>
      </c>
      <c r="H204" s="15" cm="1">
        <f t="array" ref="H204">MMS_Poultry_Methane_Equations.VEERG_4_6_1_1__1_TotalAnnualMethaneEmissions(F$192, G88, F$197)</f>
        <v>6.776021744639998E-4</v>
      </c>
      <c r="I204" s="15" cm="1">
        <f t="array" ref="I204">MMS_Poultry_Methane_Equations.VEERG_4_6_1_1__1_TotalAnnualMethaneEmissions(G$192, H88, G$197)</f>
        <v>6.3419905151999964E-4</v>
      </c>
      <c r="J204" s="16"/>
      <c r="N204" s="15" t="str">
        <f>INDEX(X_Table_Poultry_Stage1MMS,4,1)</f>
        <v>Manure stored in house</v>
      </c>
      <c r="O204" s="15" t="s">
        <v>124</v>
      </c>
      <c r="P204" s="15" cm="1">
        <f t="array" ref="P204">MMS_Poultry_Methane_Equations.VEERG_4_6_1_1__1_TotalAnnualMethaneEmissions(D$192, O88, D$197)</f>
        <v>6.1291199923199972E-4</v>
      </c>
      <c r="Q204" s="15" cm="1">
        <f t="array" ref="Q204">MMS_Poultry_Methane_Equations.VEERG_4_6_1_1__1_TotalAnnualMethaneEmissions(E$192, P88, E$197)</f>
        <v>6.3419905151999964E-4</v>
      </c>
      <c r="R204" s="15" cm="1">
        <f t="array" ref="R204">MMS_Poultry_Methane_Equations.VEERG_4_6_1_1__1_TotalAnnualMethaneEmissions(F$192, Q88, F$197)</f>
        <v>6.776021744639998E-4</v>
      </c>
      <c r="S204" s="15" cm="1">
        <f t="array" ref="S204">MMS_Poultry_Methane_Equations.VEERG_4_6_1_1__1_TotalAnnualMethaneEmissions(G$192, R88, G$197)</f>
        <v>6.3419905151999964E-4</v>
      </c>
      <c r="T204" s="16"/>
    </row>
    <row r="205" spans="4:20" ht="20.100000000000001" customHeight="1" x14ac:dyDescent="0.2">
      <c r="D205" s="15" t="str">
        <f>INDEX(X_Table_Poultry_Stage1MMS,5,1)</f>
        <v>Pasture range and paddock</v>
      </c>
      <c r="E205" s="15" t="s">
        <v>124</v>
      </c>
      <c r="F205" s="15" cm="1">
        <f t="array" ref="F205">MMS_Poultry_Methane_Equations.VEERG_4_6_1_1__1_TotalAnnualMethaneEmissions(D$192, E89, D$197)</f>
        <v>1.3620266649599997E-4</v>
      </c>
      <c r="G205" s="15" cm="1">
        <f t="array" ref="G205">MMS_Poultry_Methane_Equations.VEERG_4_6_1_1__1_TotalAnnualMethaneEmissions(E$192, F89, E$197)</f>
        <v>1.4093312255999995E-4</v>
      </c>
      <c r="H205" s="15" cm="1">
        <f t="array" ref="H205">MMS_Poultry_Methane_Equations.VEERG_4_6_1_1__1_TotalAnnualMethaneEmissions(F$192, G89, F$197)</f>
        <v>1.5057826099199999E-4</v>
      </c>
      <c r="I205" s="15" cm="1">
        <f t="array" ref="I205">MMS_Poultry_Methane_Equations.VEERG_4_6_1_1__1_TotalAnnualMethaneEmissions(G$192, H89, G$197)</f>
        <v>1.4093312255999995E-4</v>
      </c>
      <c r="J205" s="16"/>
      <c r="N205" s="15" t="str">
        <f>INDEX(X_Table_Poultry_Stage1MMS,5,1)</f>
        <v>Pasture range and paddock</v>
      </c>
      <c r="O205" s="15" t="s">
        <v>124</v>
      </c>
      <c r="P205" s="15" cm="1">
        <f t="array" ref="P205">MMS_Poultry_Methane_Equations.VEERG_4_6_1_1__1_TotalAnnualMethaneEmissions(D$192, O89, D$197)</f>
        <v>6.4015253253119989E-5</v>
      </c>
      <c r="Q205" s="15" cm="1">
        <f t="array" ref="Q205">MMS_Poultry_Methane_Equations.VEERG_4_6_1_1__1_TotalAnnualMethaneEmissions(E$192, P89, E$197)</f>
        <v>6.6238567603199995E-5</v>
      </c>
      <c r="R205" s="15" cm="1">
        <f t="array" ref="R205">MMS_Poultry_Methane_Equations.VEERG_4_6_1_1__1_TotalAnnualMethaneEmissions(F$192, Q89, F$197)</f>
        <v>7.0771782666239995E-5</v>
      </c>
      <c r="S205" s="15" cm="1">
        <f t="array" ref="S205">MMS_Poultry_Methane_Equations.VEERG_4_6_1_1__1_TotalAnnualMethaneEmissions(G$192, R89, G$197)</f>
        <v>6.6238567603199995E-5</v>
      </c>
      <c r="T205" s="16"/>
    </row>
    <row r="206" spans="4:20" ht="20.100000000000001" customHeight="1" x14ac:dyDescent="0.2">
      <c r="D206" s="15" t="str">
        <f>INDEX(X_Table_Poultry_Stage1MMS,2,1)</f>
        <v>Poultry manure with bedding</v>
      </c>
      <c r="E206" s="15" t="str">
        <f>INDEX(X_Table_Poultry_Stage2MMS_PoultryManureWithBedding,2,1)</f>
        <v>Solid storage</v>
      </c>
      <c r="F206" s="15" cm="1">
        <f t="array" ref="F206">MMS_Poultry_Methane_Equations.VEERG_4_6_1_1__1_TotalAnnualMethaneEmissions(D$192, F159, D$197)</f>
        <v>1.3892671982591992E-4</v>
      </c>
      <c r="G206" s="15" cm="1">
        <f t="array" ref="G206">MMS_Poultry_Methane_Equations.VEERG_4_6_1_1__1_TotalAnnualMethaneEmissions(E$192, G159, E$197)</f>
        <v>1.4375178501119996E-4</v>
      </c>
      <c r="H206" s="15" cm="1">
        <f t="array" ref="H206">MMS_Poultry_Methane_Equations.VEERG_4_6_1_1__1_TotalAnnualMethaneEmissions(F$192, H159, F$197)</f>
        <v>1.5358982621183997E-4</v>
      </c>
      <c r="I206" s="15" cm="1">
        <f t="array" ref="I206">MMS_Poultry_Methane_Equations.VEERG_4_6_1_1__1_TotalAnnualMethaneEmissions(G$192, I159, G$197)</f>
        <v>1.4375178501119996E-4</v>
      </c>
      <c r="J206" s="16"/>
      <c r="N206" s="15" t="str">
        <f>INDEX(X_Table_Poultry_Stage1MMS,2,1)</f>
        <v>Poultry manure with bedding</v>
      </c>
      <c r="O206" s="15" t="str">
        <f>INDEX(X_Table_Poultry_Stage2MMS_PoultryManureWithBedding,2,1)</f>
        <v>Solid storage</v>
      </c>
      <c r="P206" s="15" cm="1">
        <f t="array" ref="P206">MMS_Poultry_Methane_Equations.VEERG_4_6_1_1__1_TotalAnnualMethaneEmissions(D$192, P159, D$197)</f>
        <v>1.3892671982591992E-4</v>
      </c>
      <c r="Q206" s="15" cm="1">
        <f t="array" ref="Q206">MMS_Poultry_Methane_Equations.VEERG_4_6_1_1__1_TotalAnnualMethaneEmissions(E$192, Q159, E$197)</f>
        <v>1.4375178501119996E-4</v>
      </c>
      <c r="R206" s="15" cm="1">
        <f t="array" ref="R206">MMS_Poultry_Methane_Equations.VEERG_4_6_1_1__1_TotalAnnualMethaneEmissions(F$192, R159, F$197)</f>
        <v>1.5358982621183997E-4</v>
      </c>
      <c r="S206" s="15" cm="1">
        <f t="array" ref="S206">MMS_Poultry_Methane_Equations.VEERG_4_6_1_1__1_TotalAnnualMethaneEmissions(G$192, S159, G$197)</f>
        <v>1.4375178501119996E-4</v>
      </c>
      <c r="T206" s="16"/>
    </row>
    <row r="207" spans="4:20" ht="20.100000000000001" customHeight="1" x14ac:dyDescent="0.2">
      <c r="D207" s="15"/>
      <c r="E207" s="15" t="str">
        <f>INDEX(X_Table_Poultry_Stage2MMS_PoultryManureWithBedding,3,1)</f>
        <v>Composting (passive windrow)</v>
      </c>
      <c r="F207" s="15" cm="1">
        <f t="array" ref="F207">MMS_Poultry_Methane_Equations.VEERG_4_6_1_1__1_TotalAnnualMethaneEmissions(D$192, F160, D$197)</f>
        <v>6.9463359912959959E-5</v>
      </c>
      <c r="G207" s="15" cm="1">
        <f t="array" ref="G207">MMS_Poultry_Methane_Equations.VEERG_4_6_1_1__1_TotalAnnualMethaneEmissions(E$192, G160, E$197)</f>
        <v>7.1875892505599982E-5</v>
      </c>
      <c r="H207" s="15" cm="1">
        <f t="array" ref="H207">MMS_Poultry_Methane_Equations.VEERG_4_6_1_1__1_TotalAnnualMethaneEmissions(F$192, H160, F$197)</f>
        <v>7.6794913105919987E-5</v>
      </c>
      <c r="I207" s="15" cm="1">
        <f t="array" ref="I207">MMS_Poultry_Methane_Equations.VEERG_4_6_1_1__1_TotalAnnualMethaneEmissions(G$192, I160, G$197)</f>
        <v>7.1875892505599982E-5</v>
      </c>
      <c r="J207" s="16"/>
      <c r="N207" s="15"/>
      <c r="O207" s="15" t="str">
        <f>INDEX(X_Table_Poultry_Stage2MMS_PoultryManureWithBedding,3,1)</f>
        <v>Composting (passive windrow)</v>
      </c>
      <c r="P207" s="15" cm="1">
        <f t="array" ref="P207">MMS_Poultry_Methane_Equations.VEERG_4_6_1_1__1_TotalAnnualMethaneEmissions(D$192, P160, D$197)</f>
        <v>3.4731679956479979E-5</v>
      </c>
      <c r="Q207" s="15" cm="1">
        <f t="array" ref="Q207">MMS_Poultry_Methane_Equations.VEERG_4_6_1_1__1_TotalAnnualMethaneEmissions(E$192, Q160, E$197)</f>
        <v>3.5937946252799991E-5</v>
      </c>
      <c r="R207" s="15" cm="1">
        <f t="array" ref="R207">MMS_Poultry_Methane_Equations.VEERG_4_6_1_1__1_TotalAnnualMethaneEmissions(F$192, R160, F$197)</f>
        <v>3.8397456552959994E-5</v>
      </c>
      <c r="S207" s="15" cm="1">
        <f t="array" ref="S207">MMS_Poultry_Methane_Equations.VEERG_4_6_1_1__1_TotalAnnualMethaneEmissions(G$192, S160, G$197)</f>
        <v>3.5937946252799991E-5</v>
      </c>
      <c r="T207" s="16"/>
    </row>
    <row r="208" spans="4:20" ht="20.100000000000001" customHeight="1" x14ac:dyDescent="0.2">
      <c r="D208" s="15"/>
      <c r="E208" s="15" t="str">
        <f>INDEX(X_Table_Poultry_Stage2MMS_PoultryManureWithBedding,4,1)</f>
        <v>Digester / covered lagoons</v>
      </c>
      <c r="F208" s="15" cm="1">
        <f t="array" ref="F208">MMS_Poultry_Methane_Equations.VEERG_4_6_1_1__1_TotalAnnualMethaneEmissions(D$192, F161, D$197)</f>
        <v>6.9463359912959983E-4</v>
      </c>
      <c r="G208" s="15" cm="1">
        <f t="array" ref="G208">MMS_Poultry_Methane_Equations.VEERG_4_6_1_1__1_TotalAnnualMethaneEmissions(E$192, G161, E$197)</f>
        <v>7.187589250559998E-4</v>
      </c>
      <c r="H208" s="15" cm="1">
        <f t="array" ref="H208">MMS_Poultry_Methane_Equations.VEERG_4_6_1_1__1_TotalAnnualMethaneEmissions(F$192, H161, F$197)</f>
        <v>7.6794913105919993E-4</v>
      </c>
      <c r="I208" s="15" cm="1">
        <f t="array" ref="I208">MMS_Poultry_Methane_Equations.VEERG_4_6_1_1__1_TotalAnnualMethaneEmissions(G$192, I161, G$197)</f>
        <v>7.187589250559998E-4</v>
      </c>
      <c r="J208" s="16"/>
      <c r="N208" s="15"/>
      <c r="O208" s="15" t="str">
        <f>INDEX(X_Table_Poultry_Stage2MMS_PoultryManureWithBedding,4,1)</f>
        <v>Digester / covered lagoons</v>
      </c>
      <c r="P208" s="15" cm="1">
        <f t="array" ref="P208">MMS_Poultry_Methane_Equations.VEERG_4_6_1_1__1_TotalAnnualMethaneEmissions(D$192, P161, D$197)</f>
        <v>6.9463359912959983E-4</v>
      </c>
      <c r="Q208" s="15" cm="1">
        <f t="array" ref="Q208">MMS_Poultry_Methane_Equations.VEERG_4_6_1_1__1_TotalAnnualMethaneEmissions(E$192, Q161, E$197)</f>
        <v>7.187589250559998E-4</v>
      </c>
      <c r="R208" s="15" cm="1">
        <f t="array" ref="R208">MMS_Poultry_Methane_Equations.VEERG_4_6_1_1__1_TotalAnnualMethaneEmissions(F$192, R161, F$197)</f>
        <v>7.6794913105919993E-4</v>
      </c>
      <c r="S208" s="15" cm="1">
        <f t="array" ref="S208">MMS_Poultry_Methane_Equations.VEERG_4_6_1_1__1_TotalAnnualMethaneEmissions(G$192, S161, G$197)</f>
        <v>7.187589250559998E-4</v>
      </c>
      <c r="T208" s="16"/>
    </row>
    <row r="209" spans="1:20" ht="20.100000000000001" customHeight="1" x14ac:dyDescent="0.2">
      <c r="D209" s="15"/>
      <c r="E209" s="15" t="str">
        <f>INDEX(X_Table_Poultry_Stage2MMS_PoultryManureWithBedding,5,1)</f>
        <v>Direct processing</v>
      </c>
      <c r="F209" s="15" cm="1">
        <f t="array" ref="F209">MMS_Poultry_Methane_Equations.VEERG_4_6_1_1__1_TotalAnnualMethaneEmissions(D$192, F162, D$197)</f>
        <v>0</v>
      </c>
      <c r="G209" s="15" cm="1">
        <f t="array" ref="G209">MMS_Poultry_Methane_Equations.VEERG_4_6_1_1__1_TotalAnnualMethaneEmissions(E$192, G162, E$197)</f>
        <v>0</v>
      </c>
      <c r="H209" s="15" cm="1">
        <f t="array" ref="H209">MMS_Poultry_Methane_Equations.VEERG_4_6_1_1__1_TotalAnnualMethaneEmissions(F$192, H162, F$197)</f>
        <v>0</v>
      </c>
      <c r="I209" s="15" cm="1">
        <f t="array" ref="I209">MMS_Poultry_Methane_Equations.VEERG_4_6_1_1__1_TotalAnnualMethaneEmissions(G$192, I162, G$197)</f>
        <v>0</v>
      </c>
      <c r="J209" s="16"/>
      <c r="N209" s="15"/>
      <c r="O209" s="15" t="str">
        <f>INDEX(X_Table_Poultry_Stage2MMS_PoultryManureWithBedding,5,1)</f>
        <v>Direct processing</v>
      </c>
      <c r="P209" s="15" cm="1">
        <f t="array" ref="P209">MMS_Poultry_Methane_Equations.VEERG_4_6_1_1__1_TotalAnnualMethaneEmissions(D$192, P162, D$197)</f>
        <v>0</v>
      </c>
      <c r="Q209" s="15" cm="1">
        <f t="array" ref="Q209">MMS_Poultry_Methane_Equations.VEERG_4_6_1_1__1_TotalAnnualMethaneEmissions(E$192, Q162, E$197)</f>
        <v>0</v>
      </c>
      <c r="R209" s="15" cm="1">
        <f t="array" ref="R209">MMS_Poultry_Methane_Equations.VEERG_4_6_1_1__1_TotalAnnualMethaneEmissions(F$192, R162, F$197)</f>
        <v>0</v>
      </c>
      <c r="S209" s="15" cm="1">
        <f t="array" ref="S209">MMS_Poultry_Methane_Equations.VEERG_4_6_1_1__1_TotalAnnualMethaneEmissions(G$192, S162, G$197)</f>
        <v>0</v>
      </c>
      <c r="T209" s="16"/>
    </row>
    <row r="210" spans="1:20" ht="20.100000000000001" customHeight="1" x14ac:dyDescent="0.2">
      <c r="D210" s="15"/>
      <c r="E210" s="15" t="str">
        <f>INDEX(X_Table_Poultry_Stage2MMS_PoultryManureWithBedding,6,1)</f>
        <v>Direct application</v>
      </c>
      <c r="F210" s="15" cm="1">
        <f t="array" ref="F210">MMS_Poultry_Methane_Equations.VEERG_4_6_1_1__1_TotalAnnualMethaneEmissions(D$192, F163, D$197)</f>
        <v>0</v>
      </c>
      <c r="G210" s="15" cm="1">
        <f t="array" ref="G210">MMS_Poultry_Methane_Equations.VEERG_4_6_1_1__1_TotalAnnualMethaneEmissions(E$192, G163, E$197)</f>
        <v>0</v>
      </c>
      <c r="H210" s="15" cm="1">
        <f t="array" ref="H210">MMS_Poultry_Methane_Equations.VEERG_4_6_1_1__1_TotalAnnualMethaneEmissions(F$192, H163, F$197)</f>
        <v>0</v>
      </c>
      <c r="I210" s="15" cm="1">
        <f t="array" ref="I210">MMS_Poultry_Methane_Equations.VEERG_4_6_1_1__1_TotalAnnualMethaneEmissions(G$192, I163, G$197)</f>
        <v>0</v>
      </c>
      <c r="N210" s="15"/>
      <c r="O210" s="15" t="str">
        <f>INDEX(X_Table_Poultry_Stage2MMS_PoultryManureWithBedding,6,1)</f>
        <v>Direct application</v>
      </c>
      <c r="P210" s="15" cm="1">
        <f t="array" ref="P210">MMS_Poultry_Methane_Equations.VEERG_4_6_1_1__1_TotalAnnualMethaneEmissions(D$192, P163, D$197)</f>
        <v>0</v>
      </c>
      <c r="Q210" s="15" cm="1">
        <f t="array" ref="Q210">MMS_Poultry_Methane_Equations.VEERG_4_6_1_1__1_TotalAnnualMethaneEmissions(E$192, Q163, E$197)</f>
        <v>0</v>
      </c>
      <c r="R210" s="15" cm="1">
        <f t="array" ref="R210">MMS_Poultry_Methane_Equations.VEERG_4_6_1_1__1_TotalAnnualMethaneEmissions(F$192, R163, F$197)</f>
        <v>0</v>
      </c>
      <c r="S210" s="15" cm="1">
        <f t="array" ref="S210">MMS_Poultry_Methane_Equations.VEERG_4_6_1_1__1_TotalAnnualMethaneEmissions(G$192, S163, G$197)</f>
        <v>0</v>
      </c>
    </row>
    <row r="211" spans="1:20" ht="20.100000000000001" customHeight="1" x14ac:dyDescent="0.2">
      <c r="D211" s="15" t="str">
        <f>INDEX(X_Table_Poultry_Stage1MMS,3,1)</f>
        <v>Belt manure removal</v>
      </c>
      <c r="E211" s="15" t="str">
        <f>INDEX(X_Table_Poultry_Stage2MMS_BeltManureRemoval,2,1)</f>
        <v>Solid storage</v>
      </c>
      <c r="F211" s="15" cm="1">
        <f t="array" ref="F211">MMS_Poultry_Methane_Equations.VEERG_4_6_1_1__1_TotalAnnualMethaneEmissions(D$192, F164, D$197)</f>
        <v>1.6344319979519996E-4</v>
      </c>
      <c r="G211" s="15" cm="1">
        <f t="array" ref="G211">MMS_Poultry_Methane_Equations.VEERG_4_6_1_1__1_TotalAnnualMethaneEmissions(E$192, G164, E$197)</f>
        <v>1.6911974707199996E-4</v>
      </c>
      <c r="H211" s="15" cm="1">
        <f t="array" ref="H211">MMS_Poultry_Methane_Equations.VEERG_4_6_1_1__1_TotalAnnualMethaneEmissions(F$192, H164, F$197)</f>
        <v>1.8069391319039998E-4</v>
      </c>
      <c r="I211" s="15" cm="1">
        <f t="array" ref="I211">MMS_Poultry_Methane_Equations.VEERG_4_6_1_1__1_TotalAnnualMethaneEmissions(G$192, I164, G$197)</f>
        <v>1.6911974707199996E-4</v>
      </c>
      <c r="J211" s="16"/>
      <c r="N211" s="15" t="str">
        <f>INDEX(X_Table_Poultry_Stage1MMS,3,1)</f>
        <v>Belt manure removal</v>
      </c>
      <c r="O211" s="15" t="str">
        <f>INDEX(X_Table_Poultry_Stage2MMS_BeltManureRemoval,2,1)</f>
        <v>Solid storage</v>
      </c>
      <c r="P211" s="15" cm="1">
        <f t="array" ref="P211">MMS_Poultry_Methane_Equations.VEERG_4_6_1_1__1_TotalAnnualMethaneEmissions(D$192, P164, D$197)</f>
        <v>1.6344319979519996E-4</v>
      </c>
      <c r="Q211" s="15" cm="1">
        <f t="array" ref="Q211">MMS_Poultry_Methane_Equations.VEERG_4_6_1_1__1_TotalAnnualMethaneEmissions(E$192, Q164, E$197)</f>
        <v>1.6911974707199996E-4</v>
      </c>
      <c r="R211" s="15" cm="1">
        <f t="array" ref="R211">MMS_Poultry_Methane_Equations.VEERG_4_6_1_1__1_TotalAnnualMethaneEmissions(F$192, R164, F$197)</f>
        <v>1.8069391319039998E-4</v>
      </c>
      <c r="S211" s="15" cm="1">
        <f t="array" ref="S211">MMS_Poultry_Methane_Equations.VEERG_4_6_1_1__1_TotalAnnualMethaneEmissions(G$192, S164, G$197)</f>
        <v>1.6911974707199996E-4</v>
      </c>
      <c r="T211" s="16"/>
    </row>
    <row r="212" spans="1:20" ht="20.100000000000001" customHeight="1" x14ac:dyDescent="0.2">
      <c r="D212" s="15"/>
      <c r="E212" s="15" t="str">
        <f>INDEX(X_Table_Poultry_Stage2MMS_BeltManureRemoval,3,1)</f>
        <v>Composting (passive windrow)</v>
      </c>
      <c r="F212" s="15" cm="1">
        <f t="array" ref="F212">MMS_Poultry_Methane_Equations.VEERG_4_6_1_1__1_TotalAnnualMethaneEmissions(D$192, F165, D$197)</f>
        <v>8.1721599897599978E-5</v>
      </c>
      <c r="G212" s="15" cm="1">
        <f t="array" ref="G212">MMS_Poultry_Methane_Equations.VEERG_4_6_1_1__1_TotalAnnualMethaneEmissions(E$192, G165, E$197)</f>
        <v>8.4559873535999978E-5</v>
      </c>
      <c r="H212" s="15" cm="1">
        <f t="array" ref="H212">MMS_Poultry_Methane_Equations.VEERG_4_6_1_1__1_TotalAnnualMethaneEmissions(F$192, H165, F$197)</f>
        <v>9.034695659519999E-5</v>
      </c>
      <c r="I212" s="15" cm="1">
        <f t="array" ref="I212">MMS_Poultry_Methane_Equations.VEERG_4_6_1_1__1_TotalAnnualMethaneEmissions(G$192, I165, G$197)</f>
        <v>8.4559873535999978E-5</v>
      </c>
      <c r="J212" s="16"/>
      <c r="N212" s="15"/>
      <c r="O212" s="15" t="str">
        <f>INDEX(X_Table_Poultry_Stage2MMS_BeltManureRemoval,3,1)</f>
        <v>Composting (passive windrow)</v>
      </c>
      <c r="P212" s="15" cm="1">
        <f t="array" ref="P212">MMS_Poultry_Methane_Equations.VEERG_4_6_1_1__1_TotalAnnualMethaneEmissions(D$192, P165, D$197)</f>
        <v>4.0860799948799989E-5</v>
      </c>
      <c r="Q212" s="15" cm="1">
        <f t="array" ref="Q212">MMS_Poultry_Methane_Equations.VEERG_4_6_1_1__1_TotalAnnualMethaneEmissions(E$192, Q165, E$197)</f>
        <v>4.2279936767999989E-5</v>
      </c>
      <c r="R212" s="15" cm="1">
        <f t="array" ref="R212">MMS_Poultry_Methane_Equations.VEERG_4_6_1_1__1_TotalAnnualMethaneEmissions(F$192, R165, F$197)</f>
        <v>4.5173478297599995E-5</v>
      </c>
      <c r="S212" s="15" cm="1">
        <f t="array" ref="S212">MMS_Poultry_Methane_Equations.VEERG_4_6_1_1__1_TotalAnnualMethaneEmissions(G$192, S165, G$197)</f>
        <v>4.2279936767999989E-5</v>
      </c>
      <c r="T212" s="16"/>
    </row>
    <row r="213" spans="1:20" ht="20.100000000000001" customHeight="1" x14ac:dyDescent="0.2">
      <c r="D213" s="15"/>
      <c r="E213" s="15" t="str">
        <f>INDEX(X_Table_Poultry_Stage2MMS_BeltManureRemoval,4,1)</f>
        <v>Digester / covered lagoons</v>
      </c>
      <c r="F213" s="15" cm="1">
        <f t="array" ref="F213">MMS_Poultry_Methane_Equations.VEERG_4_6_1_1__1_TotalAnnualMethaneEmissions(D$192, F166, D$197)</f>
        <v>8.1721599897599984E-4</v>
      </c>
      <c r="G213" s="15" cm="1">
        <f t="array" ref="G213">MMS_Poultry_Methane_Equations.VEERG_4_6_1_1__1_TotalAnnualMethaneEmissions(E$192, G166, E$197)</f>
        <v>8.4559873535999992E-4</v>
      </c>
      <c r="H213" s="15" cm="1">
        <f t="array" ref="H213">MMS_Poultry_Methane_Equations.VEERG_4_6_1_1__1_TotalAnnualMethaneEmissions(F$192, H166, F$197)</f>
        <v>9.0346956595200006E-4</v>
      </c>
      <c r="I213" s="15" cm="1">
        <f t="array" ref="I213">MMS_Poultry_Methane_Equations.VEERG_4_6_1_1__1_TotalAnnualMethaneEmissions(G$192, I166, G$197)</f>
        <v>8.4559873535999992E-4</v>
      </c>
      <c r="J213" s="16"/>
      <c r="N213" s="15"/>
      <c r="O213" s="15" t="str">
        <f>INDEX(X_Table_Poultry_Stage2MMS_BeltManureRemoval,4,1)</f>
        <v>Digester / covered lagoons</v>
      </c>
      <c r="P213" s="15" cm="1">
        <f t="array" ref="P213">MMS_Poultry_Methane_Equations.VEERG_4_6_1_1__1_TotalAnnualMethaneEmissions(D$192, P166, D$197)</f>
        <v>8.1721599897599984E-4</v>
      </c>
      <c r="Q213" s="15" cm="1">
        <f t="array" ref="Q213">MMS_Poultry_Methane_Equations.VEERG_4_6_1_1__1_TotalAnnualMethaneEmissions(E$192, Q166, E$197)</f>
        <v>8.4559873535999992E-4</v>
      </c>
      <c r="R213" s="15" cm="1">
        <f t="array" ref="R213">MMS_Poultry_Methane_Equations.VEERG_4_6_1_1__1_TotalAnnualMethaneEmissions(F$192, R166, F$197)</f>
        <v>9.0346956595200006E-4</v>
      </c>
      <c r="S213" s="15" cm="1">
        <f t="array" ref="S213">MMS_Poultry_Methane_Equations.VEERG_4_6_1_1__1_TotalAnnualMethaneEmissions(G$192, S166, G$197)</f>
        <v>8.4559873535999992E-4</v>
      </c>
      <c r="T213" s="16"/>
    </row>
    <row r="214" spans="1:20" ht="20.100000000000001" customHeight="1" x14ac:dyDescent="0.2">
      <c r="D214" s="15"/>
      <c r="E214" s="15" t="str">
        <f>INDEX(X_Table_Poultry_Stage2MMS_BeltManureRemoval,5,1)</f>
        <v>Direct processing</v>
      </c>
      <c r="F214" s="15" cm="1">
        <f t="array" ref="F214">MMS_Poultry_Methane_Equations.VEERG_4_6_1_1__1_TotalAnnualMethaneEmissions(D$192, F167, D$197)</f>
        <v>0</v>
      </c>
      <c r="G214" s="15" cm="1">
        <f t="array" ref="G214">MMS_Poultry_Methane_Equations.VEERG_4_6_1_1__1_TotalAnnualMethaneEmissions(E$192, G167, E$197)</f>
        <v>0</v>
      </c>
      <c r="H214" s="15" cm="1">
        <f t="array" ref="H214">MMS_Poultry_Methane_Equations.VEERG_4_6_1_1__1_TotalAnnualMethaneEmissions(F$192, H167, F$197)</f>
        <v>0</v>
      </c>
      <c r="I214" s="15" cm="1">
        <f t="array" ref="I214">MMS_Poultry_Methane_Equations.VEERG_4_6_1_1__1_TotalAnnualMethaneEmissions(G$192, I167, G$197)</f>
        <v>0</v>
      </c>
      <c r="J214" s="16"/>
      <c r="N214" s="15"/>
      <c r="O214" s="15" t="str">
        <f>INDEX(X_Table_Poultry_Stage2MMS_BeltManureRemoval,5,1)</f>
        <v>Direct processing</v>
      </c>
      <c r="P214" s="15" cm="1">
        <f t="array" ref="P214">MMS_Poultry_Methane_Equations.VEERG_4_6_1_1__1_TotalAnnualMethaneEmissions(D$192, P167, D$197)</f>
        <v>0</v>
      </c>
      <c r="Q214" s="15" cm="1">
        <f t="array" ref="Q214">MMS_Poultry_Methane_Equations.VEERG_4_6_1_1__1_TotalAnnualMethaneEmissions(E$192, Q167, E$197)</f>
        <v>0</v>
      </c>
      <c r="R214" s="15" cm="1">
        <f t="array" ref="R214">MMS_Poultry_Methane_Equations.VEERG_4_6_1_1__1_TotalAnnualMethaneEmissions(F$192, R167, F$197)</f>
        <v>0</v>
      </c>
      <c r="S214" s="15" cm="1">
        <f t="array" ref="S214">MMS_Poultry_Methane_Equations.VEERG_4_6_1_1__1_TotalAnnualMethaneEmissions(G$192, S167, G$197)</f>
        <v>0</v>
      </c>
      <c r="T214" s="16"/>
    </row>
    <row r="215" spans="1:20" ht="20.100000000000001" customHeight="1" x14ac:dyDescent="0.2">
      <c r="D215" s="15"/>
      <c r="E215" s="15" t="str">
        <f>INDEX(X_Table_Poultry_Stage2MMS_BeltManureRemoval,6,1)</f>
        <v>Direct application</v>
      </c>
      <c r="F215" s="15" cm="1">
        <f t="array" ref="F215">MMS_Poultry_Methane_Equations.VEERG_4_6_1_1__1_TotalAnnualMethaneEmissions(D$192, F168, D$197)</f>
        <v>0</v>
      </c>
      <c r="G215" s="15" cm="1">
        <f t="array" ref="G215">MMS_Poultry_Methane_Equations.VEERG_4_6_1_1__1_TotalAnnualMethaneEmissions(E$192, G168, E$197)</f>
        <v>0</v>
      </c>
      <c r="H215" s="15" cm="1">
        <f t="array" ref="H215">MMS_Poultry_Methane_Equations.VEERG_4_6_1_1__1_TotalAnnualMethaneEmissions(F$192, H168, F$197)</f>
        <v>0</v>
      </c>
      <c r="I215" s="15" cm="1">
        <f t="array" ref="I215">MMS_Poultry_Methane_Equations.VEERG_4_6_1_1__1_TotalAnnualMethaneEmissions(G$192, I168, G$197)</f>
        <v>0</v>
      </c>
      <c r="N215" s="15"/>
      <c r="O215" s="15" t="str">
        <f>INDEX(X_Table_Poultry_Stage2MMS_BeltManureRemoval,6,1)</f>
        <v>Direct application</v>
      </c>
      <c r="P215" s="15" cm="1">
        <f t="array" ref="P215">MMS_Poultry_Methane_Equations.VEERG_4_6_1_1__1_TotalAnnualMethaneEmissions(D$192, P168, D$197)</f>
        <v>0</v>
      </c>
      <c r="Q215" s="15" cm="1">
        <f t="array" ref="Q215">MMS_Poultry_Methane_Equations.VEERG_4_6_1_1__1_TotalAnnualMethaneEmissions(E$192, Q168, E$197)</f>
        <v>0</v>
      </c>
      <c r="R215" s="15" cm="1">
        <f t="array" ref="R215">MMS_Poultry_Methane_Equations.VEERG_4_6_1_1__1_TotalAnnualMethaneEmissions(F$192, R168, F$197)</f>
        <v>0</v>
      </c>
      <c r="S215" s="15" cm="1">
        <f t="array" ref="S215">MMS_Poultry_Methane_Equations.VEERG_4_6_1_1__1_TotalAnnualMethaneEmissions(G$192, S168, G$197)</f>
        <v>0</v>
      </c>
    </row>
    <row r="216" spans="1:20" ht="20.100000000000001" customHeight="1" x14ac:dyDescent="0.2">
      <c r="D216" s="15" t="str">
        <f>INDEX(X_Table_Poultry_Stage1MMS,4,1)</f>
        <v>Manure stored in house</v>
      </c>
      <c r="E216" s="15" t="str">
        <f>INDEX(X_Table_Poultry_Stage2MMS_ManureStoredInHouse,2,1)</f>
        <v>Solid storage</v>
      </c>
      <c r="F216" s="15" cm="1">
        <f t="array" ref="F216">MMS_Poultry_Methane_Equations.VEERG_4_6_1_1__1_TotalAnnualMethaneEmissions(D$192, F169, D$197)</f>
        <v>1.3075455983615998E-4</v>
      </c>
      <c r="G216" s="15" cm="1">
        <f t="array" ref="G216">MMS_Poultry_Methane_Equations.VEERG_4_6_1_1__1_TotalAnnualMethaneEmissions(E$192, G169, E$197)</f>
        <v>1.3529579765759992E-4</v>
      </c>
      <c r="H216" s="15" cm="1">
        <f t="array" ref="H216">MMS_Poultry_Methane_Equations.VEERG_4_6_1_1__1_TotalAnnualMethaneEmissions(F$192, H169, F$197)</f>
        <v>1.4455513055232E-4</v>
      </c>
      <c r="I216" s="15" cm="1">
        <f t="array" ref="I216">MMS_Poultry_Methane_Equations.VEERG_4_6_1_1__1_TotalAnnualMethaneEmissions(G$192, I169, G$197)</f>
        <v>1.3529579765759992E-4</v>
      </c>
      <c r="J216" s="16"/>
      <c r="N216" s="15" t="str">
        <f>INDEX(X_Table_Poultry_Stage1MMS,4,1)</f>
        <v>Manure stored in house</v>
      </c>
      <c r="O216" s="15" t="str">
        <f>INDEX(X_Table_Poultry_Stage2MMS_ManureStoredInHouse,2,1)</f>
        <v>Solid storage</v>
      </c>
      <c r="P216" s="15" cm="1">
        <f t="array" ref="P216">MMS_Poultry_Methane_Equations.VEERG_4_6_1_1__1_TotalAnnualMethaneEmissions(D$192, P169, D$197)</f>
        <v>1.3075455983615998E-4</v>
      </c>
      <c r="Q216" s="15" cm="1">
        <f t="array" ref="Q216">MMS_Poultry_Methane_Equations.VEERG_4_6_1_1__1_TotalAnnualMethaneEmissions(E$192, Q169, E$197)</f>
        <v>1.3529579765759992E-4</v>
      </c>
      <c r="R216" s="15" cm="1">
        <f t="array" ref="R216">MMS_Poultry_Methane_Equations.VEERG_4_6_1_1__1_TotalAnnualMethaneEmissions(F$192, R169, F$197)</f>
        <v>1.4455513055232E-4</v>
      </c>
      <c r="S216" s="15" cm="1">
        <f t="array" ref="S216">MMS_Poultry_Methane_Equations.VEERG_4_6_1_1__1_TotalAnnualMethaneEmissions(G$192, S169, G$197)</f>
        <v>1.3529579765759992E-4</v>
      </c>
      <c r="T216" s="16"/>
    </row>
    <row r="217" spans="1:20" ht="20.100000000000001" customHeight="1" x14ac:dyDescent="0.2">
      <c r="D217" s="15"/>
      <c r="E217" s="15" t="str">
        <f>INDEX(X_Table_Poultry_Stage2MMS_ManureStoredInHouse,3,1)</f>
        <v>Composting (passive windrow)</v>
      </c>
      <c r="F217" s="15" cm="1">
        <f t="array" ref="F217">MMS_Poultry_Methane_Equations.VEERG_4_6_1_1__1_TotalAnnualMethaneEmissions(D$192, F170, D$197)</f>
        <v>6.5377279918079988E-5</v>
      </c>
      <c r="G217" s="15" cm="1">
        <f t="array" ref="G217">MMS_Poultry_Methane_Equations.VEERG_4_6_1_1__1_TotalAnnualMethaneEmissions(E$192, G170, E$197)</f>
        <v>6.7647898828799961E-5</v>
      </c>
      <c r="H217" s="15" cm="1">
        <f t="array" ref="H217">MMS_Poultry_Methane_Equations.VEERG_4_6_1_1__1_TotalAnnualMethaneEmissions(F$192, H170, F$197)</f>
        <v>7.227756527616E-5</v>
      </c>
      <c r="I217" s="15" cm="1">
        <f t="array" ref="I217">MMS_Poultry_Methane_Equations.VEERG_4_6_1_1__1_TotalAnnualMethaneEmissions(G$192, I170, G$197)</f>
        <v>6.7647898828799961E-5</v>
      </c>
      <c r="J217" s="16"/>
      <c r="N217" s="15"/>
      <c r="O217" s="15" t="str">
        <f>INDEX(X_Table_Poultry_Stage2MMS_ManureStoredInHouse,3,1)</f>
        <v>Composting (passive windrow)</v>
      </c>
      <c r="P217" s="15" cm="1">
        <f t="array" ref="P217">MMS_Poultry_Methane_Equations.VEERG_4_6_1_1__1_TotalAnnualMethaneEmissions(D$192, P170, D$197)</f>
        <v>3.2688639959039994E-5</v>
      </c>
      <c r="Q217" s="15" cm="1">
        <f t="array" ref="Q217">MMS_Poultry_Methane_Equations.VEERG_4_6_1_1__1_TotalAnnualMethaneEmissions(E$192, Q170, E$197)</f>
        <v>3.3823949414399981E-5</v>
      </c>
      <c r="R217" s="15" cm="1">
        <f t="array" ref="R217">MMS_Poultry_Methane_Equations.VEERG_4_6_1_1__1_TotalAnnualMethaneEmissions(F$192, R170, F$197)</f>
        <v>3.613878263808E-5</v>
      </c>
      <c r="S217" s="15" cm="1">
        <f t="array" ref="S217">MMS_Poultry_Methane_Equations.VEERG_4_6_1_1__1_TotalAnnualMethaneEmissions(G$192, S170, G$197)</f>
        <v>3.3823949414399981E-5</v>
      </c>
      <c r="T217" s="16"/>
    </row>
    <row r="218" spans="1:20" ht="20.100000000000001" customHeight="1" x14ac:dyDescent="0.2">
      <c r="A218" s="79" t="str">
        <f>HYPERLINK("#A1", "▲ Back to top")</f>
        <v>▲ Back to top</v>
      </c>
      <c r="D218" s="15"/>
      <c r="E218" s="15" t="str">
        <f>INDEX(X_Table_Poultry_Stage2MMS_ManureStoredInHouse,4,1)</f>
        <v>Digester / covered lagoons</v>
      </c>
      <c r="F218" s="15" cm="1">
        <f t="array" ref="F218">MMS_Poultry_Methane_Equations.VEERG_4_6_1_1__1_TotalAnnualMethaneEmissions(D$192, F171, D$197)</f>
        <v>6.5377279918080004E-4</v>
      </c>
      <c r="G218" s="15" cm="1">
        <f t="array" ref="G218">MMS_Poultry_Methane_Equations.VEERG_4_6_1_1__1_TotalAnnualMethaneEmissions(E$192, G171, E$197)</f>
        <v>6.7647898828799972E-4</v>
      </c>
      <c r="H218" s="15" cm="1">
        <f t="array" ref="H218">MMS_Poultry_Methane_Equations.VEERG_4_6_1_1__1_TotalAnnualMethaneEmissions(F$192, H171, F$197)</f>
        <v>7.2277565276159992E-4</v>
      </c>
      <c r="I218" s="15" cm="1">
        <f t="array" ref="I218">MMS_Poultry_Methane_Equations.VEERG_4_6_1_1__1_TotalAnnualMethaneEmissions(G$192, I171, G$197)</f>
        <v>6.7647898828799972E-4</v>
      </c>
      <c r="J218" s="16"/>
      <c r="N218" s="15"/>
      <c r="O218" s="15" t="str">
        <f>INDEX(X_Table_Poultry_Stage2MMS_ManureStoredInHouse,4,1)</f>
        <v>Digester / covered lagoons</v>
      </c>
      <c r="P218" s="15" cm="1">
        <f t="array" ref="P218">MMS_Poultry_Methane_Equations.VEERG_4_6_1_1__1_TotalAnnualMethaneEmissions(D$192, P171, D$197)</f>
        <v>6.5377279918080004E-4</v>
      </c>
      <c r="Q218" s="15" cm="1">
        <f t="array" ref="Q218">MMS_Poultry_Methane_Equations.VEERG_4_6_1_1__1_TotalAnnualMethaneEmissions(E$192, Q171, E$197)</f>
        <v>6.7647898828799972E-4</v>
      </c>
      <c r="R218" s="15" cm="1">
        <f t="array" ref="R218">MMS_Poultry_Methane_Equations.VEERG_4_6_1_1__1_TotalAnnualMethaneEmissions(F$192, R171, F$197)</f>
        <v>7.2277565276159992E-4</v>
      </c>
      <c r="S218" s="15" cm="1">
        <f t="array" ref="S218">MMS_Poultry_Methane_Equations.VEERG_4_6_1_1__1_TotalAnnualMethaneEmissions(G$192, S171, G$197)</f>
        <v>6.7647898828799972E-4</v>
      </c>
      <c r="T218" s="16"/>
    </row>
    <row r="219" spans="1:20" ht="20.100000000000001" customHeight="1" x14ac:dyDescent="0.2">
      <c r="D219" s="15"/>
      <c r="E219" s="15" t="str">
        <f>INDEX(X_Table_Poultry_Stage2MMS_ManureStoredInHouse,5,1)</f>
        <v>Direct processing</v>
      </c>
      <c r="F219" s="15" cm="1">
        <f t="array" ref="F219">MMS_Poultry_Methane_Equations.VEERG_4_6_1_1__1_TotalAnnualMethaneEmissions(D$192, F172, D$197)</f>
        <v>0</v>
      </c>
      <c r="G219" s="15" cm="1">
        <f t="array" ref="G219">MMS_Poultry_Methane_Equations.VEERG_4_6_1_1__1_TotalAnnualMethaneEmissions(E$192, G172, E$197)</f>
        <v>0</v>
      </c>
      <c r="H219" s="15" cm="1">
        <f t="array" ref="H219">MMS_Poultry_Methane_Equations.VEERG_4_6_1_1__1_TotalAnnualMethaneEmissions(F$192, H172, F$197)</f>
        <v>0</v>
      </c>
      <c r="I219" s="15" cm="1">
        <f t="array" ref="I219">MMS_Poultry_Methane_Equations.VEERG_4_6_1_1__1_TotalAnnualMethaneEmissions(G$192, I172, G$197)</f>
        <v>0</v>
      </c>
      <c r="J219" s="16"/>
      <c r="N219" s="15"/>
      <c r="O219" s="15" t="str">
        <f>INDEX(X_Table_Poultry_Stage2MMS_ManureStoredInHouse,5,1)</f>
        <v>Direct processing</v>
      </c>
      <c r="P219" s="15" cm="1">
        <f t="array" ref="P219">MMS_Poultry_Methane_Equations.VEERG_4_6_1_1__1_TotalAnnualMethaneEmissions(D$192, P172, D$197)</f>
        <v>0</v>
      </c>
      <c r="Q219" s="15" cm="1">
        <f t="array" ref="Q219">MMS_Poultry_Methane_Equations.VEERG_4_6_1_1__1_TotalAnnualMethaneEmissions(E$192, Q172, E$197)</f>
        <v>0</v>
      </c>
      <c r="R219" s="15" cm="1">
        <f t="array" ref="R219">MMS_Poultry_Methane_Equations.VEERG_4_6_1_1__1_TotalAnnualMethaneEmissions(F$192, R172, F$197)</f>
        <v>0</v>
      </c>
      <c r="S219" s="15" cm="1">
        <f t="array" ref="S219">MMS_Poultry_Methane_Equations.VEERG_4_6_1_1__1_TotalAnnualMethaneEmissions(G$192, S172, G$197)</f>
        <v>0</v>
      </c>
      <c r="T219" s="16"/>
    </row>
    <row r="220" spans="1:20" ht="20.100000000000001" customHeight="1" x14ac:dyDescent="0.2">
      <c r="D220" s="15"/>
      <c r="E220" s="15" t="str">
        <f>INDEX(X_Table_Poultry_Stage2MMS_ManureStoredInHouse,6,1)</f>
        <v>Direct application</v>
      </c>
      <c r="F220" s="15" cm="1">
        <f t="array" ref="F220">MMS_Poultry_Methane_Equations.VEERG_4_6_1_1__1_TotalAnnualMethaneEmissions(D$192, F173, D$197)</f>
        <v>0</v>
      </c>
      <c r="G220" s="15" cm="1">
        <f t="array" ref="G220">MMS_Poultry_Methane_Equations.VEERG_4_6_1_1__1_TotalAnnualMethaneEmissions(E$192, G173, E$197)</f>
        <v>0</v>
      </c>
      <c r="H220" s="15" cm="1">
        <f t="array" ref="H220">MMS_Poultry_Methane_Equations.VEERG_4_6_1_1__1_TotalAnnualMethaneEmissions(F$192, H173, F$197)</f>
        <v>0</v>
      </c>
      <c r="I220" s="15" cm="1">
        <f t="array" ref="I220">MMS_Poultry_Methane_Equations.VEERG_4_6_1_1__1_TotalAnnualMethaneEmissions(G$192, I173, G$197)</f>
        <v>0</v>
      </c>
      <c r="N220" s="15"/>
      <c r="O220" s="15" t="str">
        <f>INDEX(X_Table_Poultry_Stage2MMS_ManureStoredInHouse,6,1)</f>
        <v>Direct application</v>
      </c>
      <c r="P220" s="15" cm="1">
        <f t="array" ref="P220">MMS_Poultry_Methane_Equations.VEERG_4_6_1_1__1_TotalAnnualMethaneEmissions(D$192, P173, D$197)</f>
        <v>0</v>
      </c>
      <c r="Q220" s="15" cm="1">
        <f t="array" ref="Q220">MMS_Poultry_Methane_Equations.VEERG_4_6_1_1__1_TotalAnnualMethaneEmissions(E$192, Q173, E$197)</f>
        <v>0</v>
      </c>
      <c r="R220" s="15" cm="1">
        <f t="array" ref="R220">MMS_Poultry_Methane_Equations.VEERG_4_6_1_1__1_TotalAnnualMethaneEmissions(F$192, R173, F$197)</f>
        <v>0</v>
      </c>
      <c r="S220" s="15" cm="1">
        <f t="array" ref="S220">MMS_Poultry_Methane_Equations.VEERG_4_6_1_1__1_TotalAnnualMethaneEmissions(G$192, S173, G$197)</f>
        <v>0</v>
      </c>
    </row>
    <row r="222" spans="1:20" ht="20.100000000000001" customHeight="1" x14ac:dyDescent="0.2">
      <c r="D222" s="85" t="s">
        <v>376</v>
      </c>
      <c r="E222" s="86">
        <f>SUM(F202:I220)</f>
        <v>1.9999321060623357E-2</v>
      </c>
      <c r="F222" s="95" t="str">
        <f>$E$183</f>
        <v>t CH4</v>
      </c>
      <c r="N222" s="85" t="s">
        <v>376</v>
      </c>
      <c r="O222" s="86">
        <f>SUM(P202:S220)</f>
        <v>1.924586355691776E-2</v>
      </c>
      <c r="P222" s="95" t="str">
        <f>$E$183</f>
        <v>t CH4</v>
      </c>
    </row>
    <row r="224" spans="1:20" ht="20.100000000000001" customHeight="1" x14ac:dyDescent="0.2">
      <c r="D224" s="126" t="str" cm="1">
        <f t="array" ref="D224:E225">Common_Equations.Common_ConvertCH4ToCO2e_Arguments()</f>
        <v>ECH4</v>
      </c>
      <c r="E224" s="129" t="str">
        <v>Methane emissions (t CH4)</v>
      </c>
      <c r="F224" s="130"/>
      <c r="G224" s="15">
        <f>VEERG_4_6_1_1__1_TotalAnnualMethaneEmissions_Result_Method1</f>
        <v>1.9999321060623357E-2</v>
      </c>
      <c r="N224" s="126" t="str" cm="1">
        <f t="array" ref="N224:O225">Common_Equations.Common_ConvertCH4ToCO2e_Arguments()</f>
        <v>ECH4</v>
      </c>
      <c r="O224" s="129" t="str">
        <v>Methane emissions (t CH4)</v>
      </c>
      <c r="P224" s="130"/>
      <c r="Q224" s="15">
        <f>VEERG_4_6_1_1__1_TotalAnnualMethaneEmissions_Result_Method2</f>
        <v>1.924586355691776E-2</v>
      </c>
    </row>
    <row r="225" spans="4:17" ht="20.100000000000001" customHeight="1" x14ac:dyDescent="0.2">
      <c r="D225" s="126" t="str">
        <v>GWPCH4</v>
      </c>
      <c r="E225" s="129" t="str">
        <v>Global warming potential for methane (t CO2-e / t CH4)</v>
      </c>
      <c r="F225" s="130"/>
      <c r="G225" s="15">
        <f>Common_InputFunctions.Utility_LookupValueInTableNumber("CH4", Table_GWPData[Gas],Table_GWPData[CO2-e factor])</f>
        <v>28</v>
      </c>
      <c r="N225" s="126" t="str">
        <v>GWPCH4</v>
      </c>
      <c r="O225" s="129" t="str">
        <v>Global warming potential for methane (t CO2-e / t CH4)</v>
      </c>
      <c r="P225" s="130"/>
      <c r="Q225" s="15">
        <f>Common_InputFunctions.Utility_LookupValueInTableNumber("CH4", Table_GWPData[Gas],Table_GWPData[CO2-e factor])</f>
        <v>28</v>
      </c>
    </row>
    <row r="227" spans="4:17" ht="20.100000000000001" customHeight="1" x14ac:dyDescent="0.2">
      <c r="D227" s="83" t="s">
        <v>377</v>
      </c>
      <c r="E227" s="83" cm="1">
        <f t="array" ref="E227">Common_Equations.Common_ConvertN2OToCO2e(G224,G225)</f>
        <v>0.55998098969745402</v>
      </c>
      <c r="F227" s="89" t="str" cm="1">
        <f t="array" ref="F227">Common_Equations.Common_ConvertN2OToCO2e_Unit()</f>
        <v>t CO2e</v>
      </c>
      <c r="N227" s="83" t="s">
        <v>377</v>
      </c>
      <c r="O227" s="83" cm="1">
        <f t="array" ref="O227">Common_Equations.Common_ConvertN2OToCO2e(Q224,Q225)</f>
        <v>0.53888417959369728</v>
      </c>
      <c r="P227" s="89" t="str" cm="1">
        <f t="array" ref="P227">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9271FBC9-9008-498E-871C-E23E2600EF75}"/>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7D7C-782E-409B-820B-6EA4C1805A59}">
  <sheetPr>
    <tabColor rgb="FF008000"/>
  </sheetPr>
  <dimension ref="A1:U250"/>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378</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MMS_Poultry_N2ODirect_Equations.VEERG_4_6_1_3__5_NitrogenIntake_Title()</f>
        <v>Nitrogen intake of poultry</v>
      </c>
    </row>
    <row r="6" spans="1:21" ht="20.100000000000001" customHeight="1" x14ac:dyDescent="0.2">
      <c r="D6" s="17" t="str" cm="1">
        <f t="array" ref="D6">MMS_Poultry_N2ODirect_Equations.VEERG_4_6_1_3__5_NitrogenIntake_Source()</f>
        <v>VEERG 2026: 4.6.1.3, Equation (5)</v>
      </c>
    </row>
    <row r="7" spans="1:21" ht="20.100000000000001" customHeight="1" x14ac:dyDescent="0.2">
      <c r="D7" s="112" t="s">
        <v>328</v>
      </c>
      <c r="E7" s="112" t="str" cm="1">
        <f t="array" aca="1" ref="E7" ca="1">Common_InputFunctions.Utility_DisplayFunctionName(D30)</f>
        <v>=MMS_Poultry_N2ODirect_Equations.VEERG_4_6_1_3__5_NitrogenIntake</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MMS_Poultry_N2ODirect_Equations.VEERG_4_6_1_3__5_NitrogenIntake_Variable()</f>
        <v>NI_jk</v>
      </c>
    </row>
    <row r="11" spans="1:21" ht="20.100000000000001" customHeight="1" x14ac:dyDescent="0.2">
      <c r="A11" s="5" t="str">
        <f>HYPERLINK("#'Input - Poultry'!A1", "Poultry")</f>
        <v>Poultry</v>
      </c>
      <c r="D11" s="75" t="s">
        <v>118</v>
      </c>
      <c r="E11" s="9" t="str" cm="1">
        <f t="array" ref="E11">MMS_Poultry_N2ODirect_Equations.VEERG_4_6_1_3__5_NitrogenIntake_Unit()</f>
        <v>kg N/bird/day</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15">_xlfn.CHOOSECOLS(MMS_Poultry_N2ODirect_Equations.VEERG_4_6_1_3__5_NitrogenIntake_Arguments(),1,2)</f>
        <v>I_jk</v>
      </c>
      <c r="E13" s="113" t="str">
        <v>dry matter intake for each class and subclass</v>
      </c>
      <c r="F13" s="113"/>
      <c r="G13" s="113" t="str" cm="1">
        <f t="array" ref="G13:H15">_xlfn.CHOOSECOLS(MMS_Poultry_N2ODirect_Equations.VEERG_4_6_1_3__5_NitrogenIntake_Arguments(),3,4)</f>
        <v>kg DM/bird/day</v>
      </c>
      <c r="H13" s="114" t="str">
        <v>Input</v>
      </c>
      <c r="I13" s="116" t="str" cm="1">
        <f t="array" aca="1" ref="I13" ca="1">HYPERLINK(Common_InputFunctions.Utility_SourceHyperlink($D$17),$D$17)</f>
        <v>M1_Table_I_j_k</v>
      </c>
    </row>
    <row r="14" spans="1:21" ht="20.100000000000001" customHeight="1" x14ac:dyDescent="0.2">
      <c r="A14" s="5" t="str">
        <f>HYPERLINK("#'Input - Fuel'!A1", "Fuel")</f>
        <v>Fuel</v>
      </c>
      <c r="D14" s="113" t="str">
        <v>CP_jk</v>
      </c>
      <c r="E14" s="113" t="str">
        <v>crude protein content of feed</v>
      </c>
      <c r="F14" s="113"/>
      <c r="G14" s="113" t="str">
        <v>fraction</v>
      </c>
      <c r="H14" s="114" t="str">
        <v>Input</v>
      </c>
      <c r="I14" s="116" t="str" cm="1">
        <f t="array" aca="1" ref="I14" ca="1">HYPERLINK(Common_InputFunctions.Utility_SourceHyperlink($D$22),$D$22)</f>
        <v>M1_Table_CP_j_k</v>
      </c>
    </row>
    <row r="15" spans="1:21" ht="20.100000000000001" customHeight="1" x14ac:dyDescent="0.2">
      <c r="A15" s="5" t="str">
        <f>HYPERLINK("#'Input - Electricity'!A1", "Electricity")</f>
        <v>Electricity</v>
      </c>
      <c r="D15" s="113" t="str">
        <v>6.25</v>
      </c>
      <c r="E15" s="113" t="str">
        <v>factor for converting crude protein into nitrogen</v>
      </c>
      <c r="F15" s="113"/>
      <c r="G15" s="113" t="str">
        <v>ratio</v>
      </c>
      <c r="H15" s="115" t="str">
        <v>Constant</v>
      </c>
      <c r="I15" s="113" t="str">
        <f>$D$15</f>
        <v>6.25</v>
      </c>
    </row>
    <row r="16" spans="1:21" ht="20.100000000000001" customHeight="1" x14ac:dyDescent="0.2">
      <c r="A16" s="5" t="str">
        <f>HYPERLINK("#'Input - Common farm inputs'!A1", "Common farm inputs")</f>
        <v>Common farm inputs</v>
      </c>
    </row>
    <row r="17" spans="1:18" ht="20.100000000000001" customHeight="1" x14ac:dyDescent="0.2">
      <c r="A17" s="5" t="str">
        <f>HYPERLINK("#'Input - Livestock farm Inputs'!A1", "Livestock farm Inputs")</f>
        <v>Livestock farm Inputs</v>
      </c>
      <c r="D17" s="118" t="s">
        <v>330</v>
      </c>
      <c r="N17" s="118" t="s">
        <v>331</v>
      </c>
    </row>
    <row r="18" spans="1:18" ht="20.100000000000001" customHeight="1" x14ac:dyDescent="0.2">
      <c r="A18" s="5" t="str">
        <f>HYPERLINK("#'Input - Freight'!A1", "Freight")</f>
        <v>Freight</v>
      </c>
      <c r="D18" s="119" t="s">
        <v>332</v>
      </c>
      <c r="N18" s="119" t="s">
        <v>333</v>
      </c>
    </row>
    <row r="19" spans="1:18" ht="20.100000000000001" customHeight="1" x14ac:dyDescent="0.2">
      <c r="A19" s="5" t="str">
        <f>HYPERLINK("#'Input - Solid waste'!A1", "Solid waste")</f>
        <v>Solid waste</v>
      </c>
      <c r="D19" s="78" t="s">
        <v>297</v>
      </c>
      <c r="E19" s="78" t="s">
        <v>298</v>
      </c>
      <c r="F19" s="78" t="s">
        <v>299</v>
      </c>
      <c r="G19" s="78" t="s">
        <v>300</v>
      </c>
      <c r="N19" s="78" t="s">
        <v>297</v>
      </c>
      <c r="O19" s="78" t="s">
        <v>298</v>
      </c>
      <c r="P19" s="78" t="s">
        <v>299</v>
      </c>
      <c r="Q19" s="78" t="s">
        <v>300</v>
      </c>
    </row>
    <row r="20" spans="1:18" ht="20.100000000000001" customHeight="1" x14ac:dyDescent="0.2">
      <c r="A20" s="5" t="str">
        <f>HYPERLINK("#'Input - Manure sent off-site'!A1", "Manure sent off-site")</f>
        <v>Manure sent off-site</v>
      </c>
      <c r="D20" s="15">
        <f>INDEX(X_Table_Poultry_Diet_Method1,2,2)</f>
        <v>8.5999999999999993E-2</v>
      </c>
      <c r="E20" s="15">
        <f>INDEX(X_Table_Poultry_Diet_Method1,2,3)</f>
        <v>9.2999999999999999E-2</v>
      </c>
      <c r="F20" s="15">
        <f>INDEX(X_Table_Poultry_Diet_Method1,2,4)</f>
        <v>0.10299999999999999</v>
      </c>
      <c r="G20" s="15">
        <f>INDEX(X_Table_Poultry_Diet_Method1,2,5)</f>
        <v>9.2999999999999999E-2</v>
      </c>
      <c r="H20" s="16" t="str">
        <f>$G$13</f>
        <v>kg DM/bird/day</v>
      </c>
      <c r="N20" s="15">
        <f>INDEX(X_Table_Poultry_Diet_Method2,2,2)</f>
        <v>8.5999999999999993E-2</v>
      </c>
      <c r="O20" s="15">
        <f>INDEX(X_Table_Poultry_Diet_Method2,2,3)</f>
        <v>9.2999999999999999E-2</v>
      </c>
      <c r="P20" s="15">
        <f>INDEX(X_Table_Poultry_Diet_Method2,2,4)</f>
        <v>0.10299999999999999</v>
      </c>
      <c r="Q20" s="15">
        <f>INDEX(X_Table_Poultry_Diet_Method2,2,5)</f>
        <v>9.2999999999999999E-2</v>
      </c>
      <c r="R20" s="16" t="str">
        <f>$G$13</f>
        <v>kg DM/bird/day</v>
      </c>
    </row>
    <row r="21" spans="1:18" ht="20.100000000000001" customHeight="1" x14ac:dyDescent="0.2">
      <c r="A21" s="5" t="str">
        <f>HYPERLINK("#'Input - Data quality'!A1", "Data quality")</f>
        <v>Data quality</v>
      </c>
    </row>
    <row r="22" spans="1:18" ht="20.100000000000001" customHeight="1" x14ac:dyDescent="0.2">
      <c r="A22" s="5" t="str">
        <f>HYPERLINK("#'Input - Fert Prod System'!A1", "Fert Prod System")</f>
        <v>Fert Prod System</v>
      </c>
      <c r="D22" s="118" t="s">
        <v>379</v>
      </c>
      <c r="N22" s="118" t="s">
        <v>380</v>
      </c>
    </row>
    <row r="23" spans="1:18" ht="20.100000000000001" customHeight="1" x14ac:dyDescent="0.2">
      <c r="A23" s="5" t="str">
        <f>HYPERLINK("#'Input - Fertiliser'!A1", "Fertiliser")</f>
        <v>Fertiliser</v>
      </c>
      <c r="D23" s="119" t="s">
        <v>381</v>
      </c>
      <c r="E23" s="119"/>
      <c r="N23" s="119" t="s">
        <v>382</v>
      </c>
      <c r="O23" s="119"/>
    </row>
    <row r="24" spans="1:18" ht="20.100000000000001" customHeight="1" x14ac:dyDescent="0.2">
      <c r="D24" s="78" t="s">
        <v>297</v>
      </c>
      <c r="E24" s="78" t="s">
        <v>298</v>
      </c>
      <c r="F24" s="78" t="s">
        <v>299</v>
      </c>
      <c r="G24" s="78" t="s">
        <v>300</v>
      </c>
      <c r="N24" s="78" t="s">
        <v>297</v>
      </c>
      <c r="O24" s="78" t="s">
        <v>298</v>
      </c>
      <c r="P24" s="78" t="s">
        <v>299</v>
      </c>
      <c r="Q24" s="78" t="s">
        <v>300</v>
      </c>
    </row>
    <row r="25" spans="1:18" ht="20.100000000000001" customHeight="1" x14ac:dyDescent="0.2">
      <c r="D25" s="15">
        <f>INDEX(X_Table_Poultry_Diet_Method1,4,2)</f>
        <v>0.19</v>
      </c>
      <c r="E25" s="15">
        <f>INDEX(X_Table_Poultry_Diet_Method1,4,3)</f>
        <v>0.23</v>
      </c>
      <c r="F25" s="15">
        <f>INDEX(X_Table_Poultry_Diet_Method1,4,4)</f>
        <v>0.19</v>
      </c>
      <c r="G25" s="15">
        <f>INDEX(X_Table_Poultry_Diet_Method1,4,5)</f>
        <v>0.23</v>
      </c>
      <c r="H25" s="16" t="str">
        <f>$G$14</f>
        <v>fraction</v>
      </c>
      <c r="N25" s="15">
        <f>INDEX(X_Table_Poultry_Diet_Method2,4,2)</f>
        <v>0.19</v>
      </c>
      <c r="O25" s="15">
        <f>INDEX(X_Table_Poultry_Diet_Method2,4,3)</f>
        <v>0.23</v>
      </c>
      <c r="P25" s="15">
        <f>INDEX(X_Table_Poultry_Diet_Method2,4,4)</f>
        <v>0.19</v>
      </c>
      <c r="Q25" s="15">
        <f>INDEX(X_Table_Poultry_Diet_Method2,4,5)</f>
        <v>0.23</v>
      </c>
      <c r="R25" s="16" t="str">
        <f>$G$14</f>
        <v>fraction</v>
      </c>
    </row>
    <row r="26" spans="1:18" ht="20.100000000000001" customHeight="1" x14ac:dyDescent="0.2">
      <c r="A26" s="6" t="s">
        <v>2</v>
      </c>
    </row>
    <row r="27" spans="1:18" ht="20.100000000000001" customHeight="1" x14ac:dyDescent="0.2">
      <c r="A27" s="5" t="str">
        <f>HYPERLINK("#'4.6.1.1-2 Methane'!A1", "4.6.1.1-2 Manure Methane")</f>
        <v>4.6.1.1-2 Manure Methane</v>
      </c>
      <c r="D27" s="118" t="s">
        <v>383</v>
      </c>
      <c r="N27" s="118" t="s">
        <v>384</v>
      </c>
    </row>
    <row r="28" spans="1:18" ht="20.100000000000001" customHeight="1" x14ac:dyDescent="0.2">
      <c r="A28" s="117" t="str">
        <f>HYPERLINK("#'4.6.1.3-4 Direct N20'!A1", "4.6.1.3-4 Manure Direct N2O")</f>
        <v>4.6.1.3-4 Manure Direct N2O</v>
      </c>
      <c r="D28" s="119" t="s">
        <v>385</v>
      </c>
      <c r="E28" s="119"/>
      <c r="N28" s="119" t="s">
        <v>386</v>
      </c>
      <c r="O28" s="119"/>
    </row>
    <row r="29" spans="1:18" ht="20.100000000000001" customHeight="1" x14ac:dyDescent="0.2">
      <c r="A29" s="5" t="str">
        <f>HYPERLINK("#'4.6.1.5-6 Atmos Dep'!A1", "4.6.1.5-6 Manure Atmos Dep")</f>
        <v>4.6.1.5-6 Manure Atmos Dep</v>
      </c>
      <c r="D29" s="120" t="s">
        <v>297</v>
      </c>
      <c r="E29" s="120" t="s">
        <v>298</v>
      </c>
      <c r="F29" s="120" t="s">
        <v>299</v>
      </c>
      <c r="G29" s="120" t="s">
        <v>300</v>
      </c>
      <c r="N29" s="120" t="s">
        <v>297</v>
      </c>
      <c r="O29" s="120" t="s">
        <v>298</v>
      </c>
      <c r="P29" s="120" t="s">
        <v>299</v>
      </c>
      <c r="Q29" s="120" t="s">
        <v>300</v>
      </c>
    </row>
    <row r="30" spans="1:18" ht="20.100000000000001" customHeight="1" x14ac:dyDescent="0.2">
      <c r="A30" s="5" t="str">
        <f>HYPERLINK("#'4.6.1.7-8 Leaching and runoff'!A1", "4.6.1.7-8 Manure Leaching and runoff")</f>
        <v>4.6.1.7-8 Manure Leaching and runoff</v>
      </c>
      <c r="D30" s="15" cm="1">
        <f t="array" ref="D30">MMS_Poultry_N2ODirect_Equations.VEERG_4_6_1_3__5_NitrogenIntake(D20,D25)</f>
        <v>2.6144000000000002E-3</v>
      </c>
      <c r="E30" s="15" cm="1">
        <f t="array" ref="E30">MMS_Poultry_N2ODirect_Equations.VEERG_4_6_1_3__5_NitrogenIntake(E20,E25)</f>
        <v>3.4223999999999999E-3</v>
      </c>
      <c r="F30" s="15" cm="1">
        <f t="array" ref="F30">MMS_Poultry_N2ODirect_Equations.VEERG_4_6_1_3__5_NitrogenIntake(F20,F25)</f>
        <v>3.1312000000000002E-3</v>
      </c>
      <c r="G30" s="15" cm="1">
        <f t="array" ref="G30">MMS_Poultry_N2ODirect_Equations.VEERG_4_6_1_3__5_NitrogenIntake(G20,G25)</f>
        <v>3.4223999999999999E-3</v>
      </c>
      <c r="H30" s="16" t="str">
        <f>$E$11</f>
        <v>kg N/bird/day</v>
      </c>
      <c r="N30" s="15" cm="1">
        <f t="array" ref="N30">MMS_Poultry_N2ODirect_Equations.VEERG_4_6_1_3__5_NitrogenIntake(N20,N25)</f>
        <v>2.6144000000000002E-3</v>
      </c>
      <c r="O30" s="15" cm="1">
        <f t="array" ref="O30">MMS_Poultry_N2ODirect_Equations.VEERG_4_6_1_3__5_NitrogenIntake(O20,O25)</f>
        <v>3.4223999999999999E-3</v>
      </c>
      <c r="P30" s="15" cm="1">
        <f t="array" ref="P30">MMS_Poultry_N2ODirect_Equations.VEERG_4_6_1_3__5_NitrogenIntake(P20,P25)</f>
        <v>3.1312000000000002E-3</v>
      </c>
      <c r="Q30" s="15" cm="1">
        <f t="array" ref="Q30">MMS_Poultry_N2ODirect_Equations.VEERG_4_6_1_3__5_NitrogenIntake(Q20,Q25)</f>
        <v>3.4223999999999999E-3</v>
      </c>
      <c r="R30" s="16" t="str">
        <f>$E$11</f>
        <v>kg N/bird/day</v>
      </c>
    </row>
    <row r="31" spans="1:18" ht="20.100000000000001" customHeight="1" x14ac:dyDescent="0.2">
      <c r="A31" s="5" t="str">
        <f>HYPERLINK("#'4.6.1.9 Manure applied to soils'!A1", "4.6.1.9 Manure applied to soils")</f>
        <v>4.6.1.9 Manure applied to soils</v>
      </c>
    </row>
    <row r="32" spans="1:18" ht="20.100000000000001" customHeight="1" x14ac:dyDescent="0.2">
      <c r="A32" s="5" t="str">
        <f>HYPERLINK("#'4.6.1.10-11 Soil direct N2O'!A1", "4.6.1.10-11 Soil direct N2O")</f>
        <v>4.6.1.10-11 Soil direct N2O</v>
      </c>
    </row>
    <row r="33" spans="1:21" ht="20.100000000000001" customHeight="1" x14ac:dyDescent="0.2">
      <c r="A33" s="5" t="str">
        <f>HYPERLINK("#'4.6.1.12-13 Soil atmos dep'!A1", "4.6.1.12-13 Soil atmos dep")</f>
        <v>4.6.1.12-13 Soil atmos dep</v>
      </c>
      <c r="C33" s="83"/>
      <c r="D33" s="83"/>
      <c r="E33" s="83"/>
      <c r="F33" s="83"/>
      <c r="G33" s="83"/>
      <c r="H33" s="83"/>
      <c r="I33" s="83"/>
      <c r="J33" s="83"/>
      <c r="K33" s="83"/>
      <c r="M33" s="83"/>
      <c r="N33" s="83"/>
      <c r="O33" s="83"/>
      <c r="P33" s="83"/>
      <c r="Q33" s="83"/>
      <c r="R33" s="83"/>
      <c r="S33" s="83"/>
      <c r="T33" s="83"/>
      <c r="U33" s="83"/>
    </row>
    <row r="34" spans="1:21" ht="20.100000000000001" customHeight="1" x14ac:dyDescent="0.2">
      <c r="A34" s="5" t="str">
        <f>HYPERLINK("#'4.6.1.14-15 Soil leach runoff'!A1", "4.6.1.14-15 Soil leach runoff")</f>
        <v>4.6.1.14-15 Soil leach runoff</v>
      </c>
      <c r="D34" s="2" t="str" cm="1">
        <f t="array" ref="D34">MMS_Poultry_N2ODirect_Equations.VEERG_4_6_1_3__4_NitrogenExcretionPerBird_Title()</f>
        <v>Nitrogen excretion per bird per day</v>
      </c>
    </row>
    <row r="35" spans="1:21" ht="20.100000000000001" customHeight="1" x14ac:dyDescent="0.2">
      <c r="A35" s="5" t="str">
        <f>HYPERLINK("#'8.1.1.1-2 Transport fuel'!A1", "8.1.1.1-2 Transport fuel")</f>
        <v>8.1.1.1-2 Transport fuel</v>
      </c>
      <c r="D35" s="17" t="str" cm="1">
        <f t="array" ref="D35">MMS_Poultry_N2ODirect_Equations.VEERG_4_6_1_3__4_NitrogenExcretionPerBird_Source()</f>
        <v>VEERG 2026: 4.6.1.3, Equation (4)</v>
      </c>
    </row>
    <row r="36" spans="1:21" ht="20.100000000000001" customHeight="1" x14ac:dyDescent="0.2">
      <c r="A36" s="5" t="str">
        <f>HYPERLINK("#'8.2.1.1-2 Stationary fuel'!A1", "8.2.1.1-2 Stationary fuel")</f>
        <v>8.2.1.1-2 Stationary fuel</v>
      </c>
      <c r="D36" s="112" t="s">
        <v>328</v>
      </c>
      <c r="E36" s="112" t="str" cm="1">
        <f t="array" aca="1" ref="E36" ca="1">Common_InputFunctions.Utility_DisplayFunctionName(D53)</f>
        <v>=MMS_Poultry_N2ODirect_Equations.VEERG_4_6_1_3__4_NitrogenExcretionPerBird</v>
      </c>
    </row>
    <row r="37" spans="1:21" ht="20.100000000000001" customHeight="1" x14ac:dyDescent="0.2">
      <c r="A37" s="5" t="str">
        <f>HYPERLINK("#'10.1.1-2 Solid waste treatment'!A1", "10.1.1.1-2 Solid waste")</f>
        <v>10.1.1.1-2 Solid waste</v>
      </c>
    </row>
    <row r="38" spans="1:21" ht="20.100000000000001" customHeight="1" x14ac:dyDescent="0.2">
      <c r="A38" s="5" t="str">
        <f>HYPERLINK("#'14.1.1-2 Purchased electricity'!A1", "14.1.1-2 Purchased electricity")</f>
        <v>14.1.1-2 Purchased electricity</v>
      </c>
    </row>
    <row r="39" spans="1:21" ht="20.100000000000001" customHeight="1" x14ac:dyDescent="0.2">
      <c r="A39" s="5" t="str">
        <f>HYPERLINK("#'15 Scope 3'!A1", "15 Scope 3")</f>
        <v>15 Scope 3</v>
      </c>
      <c r="D39" s="75" t="s">
        <v>329</v>
      </c>
      <c r="E39" s="1" t="str" cm="1">
        <f t="array" ref="E39">MMS_Poultry_N2ODirect_Equations.VEERG_4_6_1_3__4_NitrogenExcretionPerBird_Variable()</f>
        <v>NE_jk</v>
      </c>
    </row>
    <row r="40" spans="1:21" ht="20.100000000000001" customHeight="1" x14ac:dyDescent="0.2">
      <c r="A40" s="5" t="str">
        <f>HYPERLINK("#'Calcs - Manure sent off-site'!A1", "Calcs - Manure sent off-site")</f>
        <v>Calcs - Manure sent off-site</v>
      </c>
      <c r="D40" s="75" t="s">
        <v>118</v>
      </c>
      <c r="E40" s="9" t="str" cm="1">
        <f t="array" ref="E40">MMS_Poultry_N2ODirect_Equations.VEERG_4_6_1_3__4_NitrogenExcretionPerBird_Unit()</f>
        <v>kg N/bird/day</v>
      </c>
    </row>
    <row r="41" spans="1:21" ht="20.100000000000001" customHeight="1" x14ac:dyDescent="0.2">
      <c r="A41" s="5" t="str">
        <f>HYPERLINK("#'5.1.1.1-2 Inorganic fert N2O'!A1", "5.1.1.1-2 Inorganic fert N2O")</f>
        <v>5.1.1.1-2 Inorganic fert N2O</v>
      </c>
    </row>
    <row r="42" spans="1:21" ht="20.100000000000001" customHeight="1" x14ac:dyDescent="0.2">
      <c r="A42" s="5" t="str">
        <f>HYPERLINK("#'5.1.1.3-4 Inorganic fert CO2'!A1", "5.1.1.3-4 Inorganic fert CO2")</f>
        <v>5.1.1.3-4 Inorganic fert CO2</v>
      </c>
      <c r="D42" s="113" t="str" cm="1">
        <f t="array" ref="D42:E43">_xlfn.CHOOSECOLS(MMS_Poultry_N2ODirect_Equations.VEERG_4_6_1_3__4_NitrogenExcretionPerBird_Arguments(),1,2)</f>
        <v>NI_jk</v>
      </c>
      <c r="E42" s="122" t="str">
        <v>nitrogen intake</v>
      </c>
      <c r="F42" s="123"/>
      <c r="G42" s="113" t="str" cm="1">
        <f t="array" ref="G42:H43">_xlfn.CHOOSECOLS(MMS_Poultry_N2ODirect_Equations.VEERG_4_6_1_3__4_NitrogenExcretionPerBird_Arguments(),3,4)</f>
        <v>kg N/bird/day</v>
      </c>
      <c r="H42" s="115" t="str">
        <v>Calculated from 4.6.1.3 (5)</v>
      </c>
      <c r="I42" s="116" t="str" cm="1">
        <f t="array" aca="1" ref="I42" ca="1">HYPERLINK(Common_InputFunctions.Utility_SourceHyperlink($D$27),$D$27)</f>
        <v>M1_Table_NI_j_k</v>
      </c>
    </row>
    <row r="43" spans="1:21" ht="20.100000000000001" customHeight="1" x14ac:dyDescent="0.2">
      <c r="A43" s="5" t="str">
        <f>HYPERLINK("#'5.2.1.1-2 Organic Fert N2O'!A1", "5.2.1.1-2 Organic Fert N2O")</f>
        <v>5.2.1.1-2 Organic Fert N2O</v>
      </c>
      <c r="D43" s="113" t="str">
        <v>NR_jk</v>
      </c>
      <c r="E43" s="122" t="str">
        <v>nitrogen retention expressed as a fraction of intake</v>
      </c>
      <c r="F43" s="123"/>
      <c r="G43" s="113" t="str">
        <v>fraction</v>
      </c>
      <c r="H43" s="115" t="str">
        <v>Constant</v>
      </c>
      <c r="I43" s="116" t="str" cm="1">
        <f t="array" aca="1" ref="I43" ca="1">HYPERLINK(Common_InputFunctions.Utility_SourceHyperlink($D$45),$D$45)</f>
        <v>Table_NR_j_k</v>
      </c>
    </row>
    <row r="44" spans="1:21" ht="20.100000000000001" customHeight="1" x14ac:dyDescent="0.2">
      <c r="A44" s="5" t="str">
        <f>HYPERLINK("#'5.3.1.1-2 Lime CO2'!A1", "5.3.1.1-2 Lime CO2")</f>
        <v>5.3.1.1-2 Lime CO2</v>
      </c>
    </row>
    <row r="45" spans="1:21" ht="20.100000000000001" customHeight="1" x14ac:dyDescent="0.2">
      <c r="A45" s="5" t="str">
        <f>HYPERLINK("#'5.4.1.1-4 Atmos deposition'!A1", "5.4.1.1-4 Atmos deposition")</f>
        <v>5.4.1.1-4 Atmos deposition</v>
      </c>
      <c r="D45" s="118" t="s">
        <v>387</v>
      </c>
    </row>
    <row r="46" spans="1:21" ht="20.100000000000001" customHeight="1" x14ac:dyDescent="0.2">
      <c r="A46" s="5" t="str">
        <f>HYPERLINK("#'5.5.1.1-2 Leaching and runoff'!A1", "5.5.1.1-2 Leaching and runoff")</f>
        <v>5.5.1.1-2 Leaching and runoff</v>
      </c>
      <c r="D46" s="119" t="s">
        <v>388</v>
      </c>
      <c r="E46" s="119"/>
    </row>
    <row r="47" spans="1:21" ht="20.100000000000001" customHeight="1" x14ac:dyDescent="0.2">
      <c r="D47" s="120" t="s">
        <v>297</v>
      </c>
      <c r="E47" s="120" t="s">
        <v>298</v>
      </c>
      <c r="F47" s="120" t="s">
        <v>299</v>
      </c>
      <c r="G47" s="120" t="s">
        <v>300</v>
      </c>
    </row>
    <row r="48" spans="1:21" ht="20.100000000000001" customHeight="1" x14ac:dyDescent="0.2">
      <c r="D48" s="15">
        <f>'Constants - Poultry'!E12</f>
        <v>0.35</v>
      </c>
      <c r="E48" s="15">
        <f>'Constants - Poultry'!F12</f>
        <v>0.47</v>
      </c>
      <c r="F48" s="15">
        <f>'Constants - Poultry'!G12</f>
        <v>0.32</v>
      </c>
      <c r="G48" s="15">
        <f>'Constants - Poultry'!H12</f>
        <v>0.47</v>
      </c>
      <c r="H48" s="16" t="str">
        <f>$G$43</f>
        <v>fraction</v>
      </c>
    </row>
    <row r="49" spans="1:21" ht="20.100000000000001" customHeight="1" x14ac:dyDescent="0.2">
      <c r="A49" s="80" t="s">
        <v>1</v>
      </c>
    </row>
    <row r="50" spans="1:21" ht="20.100000000000001" customHeight="1" x14ac:dyDescent="0.2">
      <c r="A50" s="5" t="str">
        <f>HYPERLINK("#'Constants - Poultry'!A1", "Constants - Poultry")</f>
        <v>Constants - Poultry</v>
      </c>
      <c r="D50" s="118" t="s">
        <v>389</v>
      </c>
      <c r="N50" s="118" t="s">
        <v>390</v>
      </c>
    </row>
    <row r="51" spans="1:21" ht="20.100000000000001" customHeight="1" x14ac:dyDescent="0.2">
      <c r="A51" s="5" t="str">
        <f>HYPERLINK("#'Constants - Common livestock'!A1", "Constants - Common Livestock")</f>
        <v>Constants - Common Livestock</v>
      </c>
      <c r="D51" s="119" t="s">
        <v>391</v>
      </c>
      <c r="E51" s="119"/>
      <c r="N51" s="119" t="s">
        <v>392</v>
      </c>
      <c r="O51" s="119"/>
    </row>
    <row r="52" spans="1:21" ht="20.100000000000001" customHeight="1" x14ac:dyDescent="0.2">
      <c r="A52" s="5" t="str">
        <f>HYPERLINK("#'Constants - Electricity'!A1", "Constants - Electricity")</f>
        <v>Constants - Electricity</v>
      </c>
      <c r="D52" s="120" t="s">
        <v>297</v>
      </c>
      <c r="E52" s="120" t="s">
        <v>298</v>
      </c>
      <c r="F52" s="120" t="s">
        <v>299</v>
      </c>
      <c r="G52" s="120" t="s">
        <v>300</v>
      </c>
      <c r="N52" s="120" t="s">
        <v>297</v>
      </c>
      <c r="O52" s="120" t="s">
        <v>298</v>
      </c>
      <c r="P52" s="120" t="s">
        <v>299</v>
      </c>
      <c r="Q52" s="120" t="s">
        <v>300</v>
      </c>
    </row>
    <row r="53" spans="1:21" ht="20.100000000000001" customHeight="1" x14ac:dyDescent="0.2">
      <c r="A53" s="5" t="str">
        <f>HYPERLINK("#'Constants - Fertiliser'!A1", "Constants - Fertiliser")</f>
        <v>Constants - Fertiliser</v>
      </c>
      <c r="D53" s="15" cm="1">
        <f t="array" ref="D53">MMS_Poultry_N2ODirect_Equations.VEERG_4_6_1_3__4_NitrogenExcretionPerBird(D30,D48)</f>
        <v>1.6993600000000002E-3</v>
      </c>
      <c r="E53" s="15" cm="1">
        <f t="array" ref="E53">MMS_Poultry_N2ODirect_Equations.VEERG_4_6_1_3__4_NitrogenExcretionPerBird(E30,E48)</f>
        <v>1.813872E-3</v>
      </c>
      <c r="F53" s="15" cm="1">
        <f t="array" ref="F53">MMS_Poultry_N2ODirect_Equations.VEERG_4_6_1_3__4_NitrogenExcretionPerBird(F30,F48)</f>
        <v>2.1292159999999997E-3</v>
      </c>
      <c r="G53" s="15" cm="1">
        <f t="array" ref="G53">MMS_Poultry_N2ODirect_Equations.VEERG_4_6_1_3__4_NitrogenExcretionPerBird(G30,G48)</f>
        <v>1.813872E-3</v>
      </c>
      <c r="H53" s="16" t="str">
        <f>$E$40</f>
        <v>kg N/bird/day</v>
      </c>
      <c r="N53" s="15" cm="1">
        <f t="array" ref="N53">MMS_Poultry_N2ODirect_Equations.VEERG_4_6_1_3__4_NitrogenExcretionPerBird(N30,D48)</f>
        <v>1.6993600000000002E-3</v>
      </c>
      <c r="O53" s="15" cm="1">
        <f t="array" ref="O53">MMS_Poultry_N2ODirect_Equations.VEERG_4_6_1_3__4_NitrogenExcretionPerBird(O30,E48)</f>
        <v>1.813872E-3</v>
      </c>
      <c r="P53" s="15" cm="1">
        <f t="array" ref="P53">MMS_Poultry_N2ODirect_Equations.VEERG_4_6_1_3__4_NitrogenExcretionPerBird(P30,F48)</f>
        <v>2.1292159999999997E-3</v>
      </c>
      <c r="Q53" s="15" cm="1">
        <f t="array" ref="Q53">MMS_Poultry_N2ODirect_Equations.VEERG_4_6_1_3__4_NitrogenExcretionPerBird(Q30,G48)</f>
        <v>1.813872E-3</v>
      </c>
      <c r="R53" s="16" t="str">
        <f>$E$40</f>
        <v>kg N/bird/day</v>
      </c>
    </row>
    <row r="54" spans="1:21" ht="20.100000000000001" customHeight="1" x14ac:dyDescent="0.2">
      <c r="A54" s="5" t="str">
        <f>HYPERLINK("#'Constants - Fuel'!A1", "Constants - Fuel")</f>
        <v>Constants - Fuel</v>
      </c>
    </row>
    <row r="55" spans="1:21" ht="20.100000000000001" customHeight="1" x14ac:dyDescent="0.2">
      <c r="A55" s="5" t="str">
        <f>HYPERLINK("#'Constants - Scope 3'!A1", "Constants - Scope 3")</f>
        <v>Constants - Scope 3</v>
      </c>
    </row>
    <row r="56" spans="1:21" ht="20.100000000000001" customHeight="1" x14ac:dyDescent="0.2">
      <c r="A56" s="5" t="str">
        <f>HYPERLINK("#'Constants - Solid Waste'!A1", "Constants - Solid Waste")</f>
        <v>Constants - Solid Waste</v>
      </c>
      <c r="C56" s="83"/>
      <c r="D56" s="83"/>
      <c r="E56" s="83"/>
      <c r="F56" s="83"/>
      <c r="G56" s="83"/>
      <c r="H56" s="83"/>
      <c r="I56" s="83"/>
      <c r="J56" s="83"/>
      <c r="K56" s="83"/>
      <c r="M56" s="83"/>
      <c r="N56" s="83"/>
      <c r="O56" s="83"/>
      <c r="P56" s="83"/>
      <c r="Q56" s="83"/>
      <c r="R56" s="83"/>
      <c r="S56" s="83"/>
      <c r="T56" s="83"/>
      <c r="U56" s="83"/>
    </row>
    <row r="57" spans="1:21" ht="20.100000000000001" customHeight="1" x14ac:dyDescent="0.2">
      <c r="A57" s="5" t="str">
        <f>HYPERLINK("#'Constants - Common'!A1", "Constants - Common")</f>
        <v>Constants - Common</v>
      </c>
      <c r="D57" s="2" t="str" cm="1">
        <f t="array" ref="D57">MMS_Poultry_N2ODirect_Equations.VEERG_4_6_1_3__3_AnnualNitrogenExcretion_Title()</f>
        <v>Annual nitrogen excretion for each poultry class and subclass</v>
      </c>
    </row>
    <row r="58" spans="1:21" ht="20.100000000000001" customHeight="1" x14ac:dyDescent="0.2">
      <c r="D58" s="17" t="str" cm="1">
        <f t="array" ref="D58">MMS_Poultry_N2ODirect_Equations.VEERG_4_6_1_3__3_AnnualNitrogenExcretion_Source()</f>
        <v>VEERG 2026: 4.6.1.3, Equation (3)</v>
      </c>
    </row>
    <row r="59" spans="1:21" ht="20.100000000000001" customHeight="1" x14ac:dyDescent="0.2">
      <c r="D59" s="112" t="s">
        <v>328</v>
      </c>
      <c r="E59" s="112" t="str" cm="1">
        <f t="array" aca="1" ref="E59" ca="1">Common_InputFunctions.Utility_DisplayFunctionName(D82)</f>
        <v>=MMS_Poultry_N2ODirect_Equations.VEERG_4_6_1_3__3_AnnualNitrogenExcretion</v>
      </c>
    </row>
    <row r="62" spans="1:21" ht="20.100000000000001" customHeight="1" x14ac:dyDescent="0.2">
      <c r="D62" s="75" t="s">
        <v>329</v>
      </c>
      <c r="E62" s="1" t="str" cm="1">
        <f t="array" ref="E62">MMS_Poultry_N2ODirect_Equations.VEERG_4_6_1_3__3_AnnualNitrogenExcretion_Variable()</f>
        <v>AE_jk</v>
      </c>
    </row>
    <row r="63" spans="1:21" ht="20.100000000000001" customHeight="1" x14ac:dyDescent="0.2">
      <c r="D63" s="75" t="s">
        <v>118</v>
      </c>
      <c r="E63" s="9" t="str" cm="1">
        <f t="array" ref="E63">MMS_Poultry_N2ODirect_Equations.VEERG_4_6_1_3__3_AnnualNitrogenExcretion_Unit()</f>
        <v>kg N</v>
      </c>
    </row>
    <row r="65" spans="1:15" ht="20.100000000000001" customHeight="1" x14ac:dyDescent="0.2">
      <c r="D65" s="113" t="str" cm="1">
        <f t="array" ref="D65:E67">_xlfn.CHOOSECOLS(MMS_Poultry_N2ODirect_Equations.VEERG_4_6_1_3__3_AnnualNitrogenExcretion_Arguments(),1,2)</f>
        <v>N_jk</v>
      </c>
      <c r="E65" s="122" t="str">
        <v>number of poultry in each class and subclass</v>
      </c>
      <c r="F65" s="123"/>
      <c r="G65" s="113" t="str" cm="1">
        <f t="array" ref="G65:H67">_xlfn.CHOOSECOLS(MMS_Poultry_N2ODirect_Equations.VEERG_4_6_1_3__3_AnnualNitrogenExcretion_Arguments(),3,4)</f>
        <v>bird</v>
      </c>
      <c r="H65" s="114" t="str">
        <v>Input</v>
      </c>
      <c r="I65" s="116" t="str" cm="1">
        <f t="array" aca="1" ref="I65" ca="1">HYPERLINK(Common_InputFunctions.Utility_SourceHyperlink($D$69),$D$69)</f>
        <v>Table_N_j_k</v>
      </c>
    </row>
    <row r="66" spans="1:15" ht="20.100000000000001" customHeight="1" x14ac:dyDescent="0.2">
      <c r="D66" s="113" t="str">
        <v>NE_jk</v>
      </c>
      <c r="E66" s="122" t="str">
        <v>nitrogen excretion</v>
      </c>
      <c r="F66" s="123"/>
      <c r="G66" s="113" t="str">
        <v>kg N/bird/day</v>
      </c>
      <c r="H66" s="115" t="str">
        <v>Calculated from 4.6.1.3 (4)</v>
      </c>
      <c r="I66" s="116" t="str" cm="1">
        <f t="array" aca="1" ref="I66" ca="1">HYPERLINK(Common_InputFunctions.Utility_SourceHyperlink($D$50),$D$50)</f>
        <v>M1_Table_NE_j_k</v>
      </c>
    </row>
    <row r="67" spans="1:15" ht="20.100000000000001" customHeight="1" x14ac:dyDescent="0.2">
      <c r="D67" s="113" t="str">
        <v>D_jk</v>
      </c>
      <c r="E67" s="122" t="str">
        <v>duration of stay of each class and subclass</v>
      </c>
      <c r="F67" s="123"/>
      <c r="G67" s="113" t="str">
        <v>days</v>
      </c>
      <c r="H67" s="114" t="str">
        <v>Input</v>
      </c>
      <c r="I67" s="116" t="str" cm="1">
        <f t="array" aca="1" ref="I67" ca="1">HYPERLINK(Common_InputFunctions.Utility_SourceHyperlink($D$74),$D$74)</f>
        <v>Table_D_j_k</v>
      </c>
    </row>
    <row r="68" spans="1:15" ht="20.100000000000001" customHeight="1" x14ac:dyDescent="0.2">
      <c r="A68" s="79" t="str">
        <f>HYPERLINK("#A1", "▲ Back to top")</f>
        <v>▲ Back to top</v>
      </c>
    </row>
    <row r="69" spans="1:15" ht="20.100000000000001" customHeight="1" x14ac:dyDescent="0.2">
      <c r="D69" s="118" t="s">
        <v>370</v>
      </c>
    </row>
    <row r="70" spans="1:15" ht="20.100000000000001" customHeight="1" x14ac:dyDescent="0.2">
      <c r="D70" s="119" t="s">
        <v>371</v>
      </c>
      <c r="E70" s="119"/>
    </row>
    <row r="71" spans="1:15" ht="20.100000000000001" customHeight="1" x14ac:dyDescent="0.2">
      <c r="D71" s="78" t="s">
        <v>297</v>
      </c>
      <c r="E71" s="78" t="s">
        <v>298</v>
      </c>
      <c r="F71" s="78" t="s">
        <v>299</v>
      </c>
      <c r="G71" s="78" t="s">
        <v>300</v>
      </c>
    </row>
    <row r="72" spans="1:15" ht="20.100000000000001" customHeight="1" x14ac:dyDescent="0.2">
      <c r="D72" s="15">
        <f>INDEX(X_Table_Poultry_Movement,3,2)</f>
        <v>100</v>
      </c>
      <c r="E72" s="15">
        <f>INDEX(X_Table_Poultry_Movement,3,3)</f>
        <v>100</v>
      </c>
      <c r="F72" s="15">
        <f>INDEX(X_Table_Poultry_Movement,3,4)</f>
        <v>100</v>
      </c>
      <c r="G72" s="15">
        <f>INDEX(X_Table_Poultry_Movement,3,5)</f>
        <v>100</v>
      </c>
      <c r="H72" s="16" t="str">
        <f>$G$65</f>
        <v>bird</v>
      </c>
    </row>
    <row r="74" spans="1:15" ht="20.100000000000001" customHeight="1" x14ac:dyDescent="0.2">
      <c r="D74" s="118" t="s">
        <v>368</v>
      </c>
    </row>
    <row r="75" spans="1:15" ht="20.100000000000001" customHeight="1" x14ac:dyDescent="0.2">
      <c r="D75" s="119" t="s">
        <v>369</v>
      </c>
      <c r="E75" s="119"/>
    </row>
    <row r="76" spans="1:15" ht="20.100000000000001" customHeight="1" x14ac:dyDescent="0.2">
      <c r="D76" s="78" t="s">
        <v>297</v>
      </c>
      <c r="E76" s="78" t="s">
        <v>298</v>
      </c>
      <c r="F76" s="78" t="s">
        <v>299</v>
      </c>
      <c r="G76" s="78" t="s">
        <v>300</v>
      </c>
    </row>
    <row r="77" spans="1:15" ht="20.100000000000001" customHeight="1" x14ac:dyDescent="0.2">
      <c r="D77" s="15">
        <f>INDEX(X_Table_Poultry_Movement,3,2)</f>
        <v>100</v>
      </c>
      <c r="E77" s="15">
        <f>INDEX(X_Table_Poultry_Movement,3,3)</f>
        <v>100</v>
      </c>
      <c r="F77" s="15">
        <f>INDEX(X_Table_Poultry_Movement,3,4)</f>
        <v>100</v>
      </c>
      <c r="G77" s="15">
        <f>INDEX(X_Table_Poultry_Movement,3,5)</f>
        <v>100</v>
      </c>
      <c r="H77" s="16" t="str">
        <f>$G$67</f>
        <v>days</v>
      </c>
    </row>
    <row r="79" spans="1:15" ht="20.100000000000001" customHeight="1" x14ac:dyDescent="0.2">
      <c r="D79" s="118" t="s">
        <v>393</v>
      </c>
      <c r="N79" s="118" t="s">
        <v>394</v>
      </c>
    </row>
    <row r="80" spans="1:15" ht="20.100000000000001" customHeight="1" x14ac:dyDescent="0.2">
      <c r="D80" s="119" t="s">
        <v>395</v>
      </c>
      <c r="E80" s="119"/>
      <c r="N80" s="119" t="s">
        <v>396</v>
      </c>
      <c r="O80" s="119"/>
    </row>
    <row r="81" spans="3:21" ht="20.100000000000001" customHeight="1" x14ac:dyDescent="0.2">
      <c r="D81" s="120" t="s">
        <v>297</v>
      </c>
      <c r="E81" s="120" t="s">
        <v>298</v>
      </c>
      <c r="F81" s="120" t="s">
        <v>299</v>
      </c>
      <c r="G81" s="120" t="s">
        <v>300</v>
      </c>
      <c r="N81" s="120" t="s">
        <v>297</v>
      </c>
      <c r="O81" s="120" t="s">
        <v>298</v>
      </c>
      <c r="P81" s="120" t="s">
        <v>299</v>
      </c>
      <c r="Q81" s="120" t="s">
        <v>300</v>
      </c>
    </row>
    <row r="82" spans="3:21" ht="20.100000000000001" customHeight="1" x14ac:dyDescent="0.2">
      <c r="D82" s="15" cm="1">
        <f t="array" ref="D82">MMS_Poultry_N2ODirect_Equations.VEERG_4_6_1_3__3_AnnualNitrogenExcretion(D72,D53,D77)</f>
        <v>16.993600000000004</v>
      </c>
      <c r="E82" s="15" cm="1">
        <f t="array" ref="E82">MMS_Poultry_N2ODirect_Equations.VEERG_4_6_1_3__3_AnnualNitrogenExcretion(E72,E53,E77)</f>
        <v>18.138719999999999</v>
      </c>
      <c r="F82" s="15" cm="1">
        <f t="array" ref="F82">MMS_Poultry_N2ODirect_Equations.VEERG_4_6_1_3__3_AnnualNitrogenExcretion(F72,F53,F77)</f>
        <v>21.292159999999999</v>
      </c>
      <c r="G82" s="15" cm="1">
        <f t="array" ref="G82">MMS_Poultry_N2ODirect_Equations.VEERG_4_6_1_3__3_AnnualNitrogenExcretion(G72,G53,G77)</f>
        <v>18.138719999999999</v>
      </c>
      <c r="H82" s="16" t="str">
        <f>$E$63</f>
        <v>kg N</v>
      </c>
      <c r="N82" s="15" cm="1">
        <f t="array" ref="N82">MMS_Poultry_N2ODirect_Equations.VEERG_4_6_1_3__3_AnnualNitrogenExcretion(D72,N53,D77)</f>
        <v>16.993600000000004</v>
      </c>
      <c r="O82" s="15" cm="1">
        <f t="array" ref="O82">MMS_Poultry_N2ODirect_Equations.VEERG_4_6_1_3__3_AnnualNitrogenExcretion(E72,O53,E77)</f>
        <v>18.138719999999999</v>
      </c>
      <c r="P82" s="15" cm="1">
        <f t="array" ref="P82">MMS_Poultry_N2ODirect_Equations.VEERG_4_6_1_3__3_AnnualNitrogenExcretion(F72,P53,F77)</f>
        <v>21.292159999999999</v>
      </c>
      <c r="Q82" s="15" cm="1">
        <f t="array" ref="Q82">MMS_Poultry_N2ODirect_Equations.VEERG_4_6_1_3__3_AnnualNitrogenExcretion(G72,Q53,G77)</f>
        <v>18.138719999999999</v>
      </c>
      <c r="R82" s="16" t="str">
        <f>$E$63</f>
        <v>kg N</v>
      </c>
    </row>
    <row r="85" spans="3:21" ht="20.100000000000001" customHeight="1" x14ac:dyDescent="0.2">
      <c r="C85" s="83"/>
      <c r="D85" s="83"/>
      <c r="E85" s="83"/>
      <c r="F85" s="83"/>
      <c r="G85" s="83"/>
      <c r="H85" s="83"/>
      <c r="I85" s="83"/>
      <c r="J85" s="83"/>
      <c r="K85" s="83"/>
      <c r="M85" s="83"/>
      <c r="N85" s="83"/>
      <c r="O85" s="83"/>
      <c r="P85" s="83"/>
      <c r="Q85" s="83"/>
      <c r="R85" s="83"/>
      <c r="S85" s="83"/>
      <c r="T85" s="83"/>
      <c r="U85" s="83"/>
    </row>
    <row r="86" spans="3:21" ht="20.100000000000001" customHeight="1" x14ac:dyDescent="0.2">
      <c r="D86" s="2" t="str" cm="1">
        <f t="array" ref="D86">MMS_Poultry_N2ODirect_Equations.VEERG_4_6_1_3__2_Stage1NitrogenInMMS_Title()</f>
        <v>Nitrogen in treatment stage 1 MMS</v>
      </c>
    </row>
    <row r="87" spans="3:21" ht="20.100000000000001" customHeight="1" x14ac:dyDescent="0.2">
      <c r="D87" s="17" t="str" cm="1">
        <f t="array" ref="D87">MMS_Poultry_N2ODirect_Equations.VEERG_4_6_1_3__2_Stage1NitrogenInMMS_Source()</f>
        <v>VEERG 2026: 4.6.1.3, Equation (2)</v>
      </c>
    </row>
    <row r="88" spans="3:21" ht="20.100000000000001" customHeight="1" x14ac:dyDescent="0.2">
      <c r="D88" s="112" t="s">
        <v>328</v>
      </c>
      <c r="E88" s="112" t="str" cm="1">
        <f t="array" aca="1" ref="E88" ca="1">Common_InputFunctions.Utility_DisplayFunctionName(E108)</f>
        <v>=MMS_Poultry_N2ODirect_Equations.VEERG_4_6_1_3__2_Stage1NitrogenInMMS</v>
      </c>
    </row>
    <row r="91" spans="3:21" ht="20.100000000000001" customHeight="1" x14ac:dyDescent="0.2">
      <c r="D91" s="75" t="s">
        <v>329</v>
      </c>
      <c r="E91" s="1" t="str" cm="1">
        <f t="array" ref="E91">MMS_Poultry_N2ODirect_Equations.VEERG_4_6_1_3__2_Stage1NitrogenInMMS_Variable()</f>
        <v>MN_jkmT1</v>
      </c>
    </row>
    <row r="92" spans="3:21" ht="20.100000000000001" customHeight="1" x14ac:dyDescent="0.2">
      <c r="D92" s="75" t="s">
        <v>118</v>
      </c>
      <c r="E92" s="9" t="str" cm="1">
        <f t="array" ref="E92">MMS_Poultry_N2ODirect_Equations.VEERG_4_6_1_3__2_Stage1NitrogenInMMS_Unit()</f>
        <v>kg N</v>
      </c>
    </row>
    <row r="94" spans="3:21" ht="20.100000000000001" customHeight="1" x14ac:dyDescent="0.2">
      <c r="D94" s="113" t="str" cm="1">
        <f t="array" ref="D94:E95">_xlfn.CHOOSECOLS(MMS_Poultry_N2ODirect_Equations.VEERG_4_6_1_3__2_Stage1NitrogenInMMS_Arguments(),1,2)</f>
        <v>AE_jk</v>
      </c>
      <c r="E94" s="113" t="str">
        <v>total nitrogen excreted by each poultry class and subclass</v>
      </c>
      <c r="F94" s="113"/>
      <c r="G94" s="113" t="str" cm="1">
        <f t="array" ref="G94:H95">_xlfn.CHOOSECOLS(MMS_Poultry_N2ODirect_Equations.VEERG_4_6_1_3__2_Stage1NitrogenInMMS_Arguments(),3,4)</f>
        <v>kg N</v>
      </c>
      <c r="H94" s="115" t="str">
        <v>Calculated from 4.6.1.3 (3)</v>
      </c>
      <c r="I94" s="116" t="str" cm="1">
        <f t="array" aca="1" ref="I94" ca="1">HYPERLINK(Common_InputFunctions.Utility_SourceHyperlink($D$79),$D$79)</f>
        <v>M1_Table_AE_j_k</v>
      </c>
    </row>
    <row r="95" spans="3:21" ht="20.100000000000001" customHeight="1" x14ac:dyDescent="0.2">
      <c r="D95" s="113" t="str">
        <v>MMS_jmT1</v>
      </c>
      <c r="E95" s="113" t="str">
        <v>fraction of manure in each primary system</v>
      </c>
      <c r="F95" s="113"/>
      <c r="G95" s="113" t="str">
        <v>fraction</v>
      </c>
      <c r="H95" s="114" t="str">
        <v>Input</v>
      </c>
      <c r="I95" s="116" t="str" cm="1">
        <f t="array" aca="1" ref="I95" ca="1">HYPERLINK(Common_InputFunctions.Utility_SourceHyperlink($D$97),$D$97)</f>
        <v>Table_MMS_j_m_T-1</v>
      </c>
    </row>
    <row r="97" spans="1:19" ht="20.100000000000001" customHeight="1" x14ac:dyDescent="0.2">
      <c r="D97" s="118" t="s">
        <v>344</v>
      </c>
    </row>
    <row r="98" spans="1:19" ht="20.100000000000001" customHeight="1" x14ac:dyDescent="0.2">
      <c r="A98" s="79" t="str">
        <f>HYPERLINK("#A1", "▲ Back to top")</f>
        <v>▲ Back to top</v>
      </c>
      <c r="D98" s="119" t="s">
        <v>345</v>
      </c>
    </row>
    <row r="99" spans="1:19" ht="20.100000000000001" customHeight="1" x14ac:dyDescent="0.2">
      <c r="D99" s="78" t="s">
        <v>314</v>
      </c>
      <c r="E99" s="78" t="s">
        <v>297</v>
      </c>
      <c r="F99" s="78" t="s">
        <v>298</v>
      </c>
      <c r="G99" s="78" t="s">
        <v>299</v>
      </c>
      <c r="H99" s="78" t="s">
        <v>300</v>
      </c>
    </row>
    <row r="100" spans="1:19" ht="20.100000000000001" customHeight="1" x14ac:dyDescent="0.2">
      <c r="D100" s="15" t="str">
        <f>INDEX(X_Table_Poultry_Stage1MMS,2,1)</f>
        <v>Poultry manure with bedding</v>
      </c>
      <c r="E100" s="15">
        <f>INDEX(X_Table_Poultry_Stage1MMS,2,2)</f>
        <v>0.3</v>
      </c>
      <c r="F100" s="15">
        <f>INDEX(X_Table_Poultry_Stage1MMS,2,3)</f>
        <v>0.3</v>
      </c>
      <c r="G100" s="15">
        <f>INDEX(X_Table_Poultry_Stage1MMS,2,4)</f>
        <v>0.3</v>
      </c>
      <c r="H100" s="15">
        <f>INDEX(X_Table_Poultry_Stage1MMS,2,5)</f>
        <v>0.3</v>
      </c>
      <c r="I100" s="16" t="str">
        <f>$G$95</f>
        <v>fraction</v>
      </c>
    </row>
    <row r="101" spans="1:19" ht="20.100000000000001" customHeight="1" x14ac:dyDescent="0.2">
      <c r="D101" s="15" t="str">
        <f>INDEX(X_Table_Poultry_Stage1MMS,3,1)</f>
        <v>Belt manure removal</v>
      </c>
      <c r="E101" s="15">
        <f>INDEX(X_Table_Poultry_Stage1MMS,3,2)</f>
        <v>0.3</v>
      </c>
      <c r="F101" s="15">
        <f>INDEX(X_Table_Poultry_Stage1MMS,3,3)</f>
        <v>0.3</v>
      </c>
      <c r="G101" s="15">
        <f>INDEX(X_Table_Poultry_Stage1MMS,3,4)</f>
        <v>0.3</v>
      </c>
      <c r="H101" s="15">
        <f>INDEX(X_Table_Poultry_Stage1MMS,3,5)</f>
        <v>0.3</v>
      </c>
      <c r="I101" s="16"/>
    </row>
    <row r="102" spans="1:19" ht="20.100000000000001" customHeight="1" x14ac:dyDescent="0.2">
      <c r="D102" s="15" t="str">
        <f>INDEX(X_Table_Poultry_Stage1MMS,4,1)</f>
        <v>Manure stored in house</v>
      </c>
      <c r="E102" s="15">
        <f>INDEX(X_Table_Poultry_Stage1MMS,4,2)</f>
        <v>0.3</v>
      </c>
      <c r="F102" s="15">
        <f>INDEX(X_Table_Poultry_Stage1MMS,4,3)</f>
        <v>0.3</v>
      </c>
      <c r="G102" s="15">
        <f>INDEX(X_Table_Poultry_Stage1MMS,4,4)</f>
        <v>0.3</v>
      </c>
      <c r="H102" s="15">
        <f>INDEX(X_Table_Poultry_Stage1MMS,4,5)</f>
        <v>0.3</v>
      </c>
      <c r="I102" s="16"/>
    </row>
    <row r="103" spans="1:19" ht="20.100000000000001" customHeight="1" x14ac:dyDescent="0.2">
      <c r="D103" s="15" t="str">
        <f>INDEX(X_Table_Poultry_Stage1MMS,5,1)</f>
        <v>Pasture range and paddock</v>
      </c>
      <c r="E103" s="15">
        <f>INDEX(X_Table_Poultry_Stage1MMS,5,2)</f>
        <v>0.1</v>
      </c>
      <c r="F103" s="15">
        <f>INDEX(X_Table_Poultry_Stage1MMS,5,3)</f>
        <v>0.1</v>
      </c>
      <c r="G103" s="15">
        <f>INDEX(X_Table_Poultry_Stage1MMS,5,4)</f>
        <v>0.1</v>
      </c>
      <c r="H103" s="15">
        <f>INDEX(X_Table_Poultry_Stage1MMS,5,5)</f>
        <v>0.1</v>
      </c>
      <c r="I103" s="16"/>
    </row>
    <row r="105" spans="1:19" ht="20.100000000000001" customHeight="1" x14ac:dyDescent="0.2">
      <c r="D105" s="118" t="s">
        <v>397</v>
      </c>
      <c r="N105" s="118" t="s">
        <v>398</v>
      </c>
    </row>
    <row r="106" spans="1:19" ht="20.100000000000001" customHeight="1" x14ac:dyDescent="0.2">
      <c r="D106" s="119" t="s">
        <v>399</v>
      </c>
      <c r="N106" s="119" t="s">
        <v>400</v>
      </c>
    </row>
    <row r="107" spans="1:19" ht="20.100000000000001" customHeight="1" x14ac:dyDescent="0.2">
      <c r="D107" s="120" t="s">
        <v>314</v>
      </c>
      <c r="E107" s="120" t="s">
        <v>297</v>
      </c>
      <c r="F107" s="120" t="s">
        <v>298</v>
      </c>
      <c r="G107" s="120" t="s">
        <v>299</v>
      </c>
      <c r="H107" s="120" t="s">
        <v>300</v>
      </c>
      <c r="N107" s="120" t="s">
        <v>314</v>
      </c>
      <c r="O107" s="120" t="s">
        <v>297</v>
      </c>
      <c r="P107" s="120" t="s">
        <v>298</v>
      </c>
      <c r="Q107" s="120" t="s">
        <v>299</v>
      </c>
      <c r="R107" s="120" t="s">
        <v>300</v>
      </c>
    </row>
    <row r="108" spans="1:19" ht="20.100000000000001" customHeight="1" x14ac:dyDescent="0.2">
      <c r="D108" s="15" t="str">
        <f>INDEX(X_Table_Poultry_Stage1MMS,2,1)</f>
        <v>Poultry manure with bedding</v>
      </c>
      <c r="E108" s="15" cm="1">
        <f t="array" ref="E108">MMS_Poultry_N2ODirect_Equations.VEERG_4_6_1_3__2_Stage1NitrogenInMMS(D$82,E100)</f>
        <v>5.0980800000000013</v>
      </c>
      <c r="F108" s="15" cm="1">
        <f t="array" ref="F108">MMS_Poultry_N2ODirect_Equations.VEERG_4_6_1_3__2_Stage1NitrogenInMMS(E$82,F100)</f>
        <v>5.4416159999999998</v>
      </c>
      <c r="G108" s="15" cm="1">
        <f t="array" ref="G108">MMS_Poultry_N2ODirect_Equations.VEERG_4_6_1_3__2_Stage1NitrogenInMMS(F$82,G100)</f>
        <v>6.3876479999999995</v>
      </c>
      <c r="H108" s="15" cm="1">
        <f t="array" ref="H108">MMS_Poultry_N2ODirect_Equations.VEERG_4_6_1_3__2_Stage1NitrogenInMMS(G$82,H100)</f>
        <v>5.4416159999999998</v>
      </c>
      <c r="I108" s="16" t="str">
        <f>$E$92</f>
        <v>kg N</v>
      </c>
      <c r="N108" s="15" t="str">
        <f>INDEX(X_Table_Poultry_Stage1MMS,2,1)</f>
        <v>Poultry manure with bedding</v>
      </c>
      <c r="O108" s="15" cm="1">
        <f t="array" ref="O108">MMS_Poultry_N2ODirect_Equations.VEERG_4_6_1_3__2_Stage1NitrogenInMMS(N$82,E100)</f>
        <v>5.0980800000000013</v>
      </c>
      <c r="P108" s="15" cm="1">
        <f t="array" ref="P108">MMS_Poultry_N2ODirect_Equations.VEERG_4_6_1_3__2_Stage1NitrogenInMMS(O$82,F100)</f>
        <v>5.4416159999999998</v>
      </c>
      <c r="Q108" s="15" cm="1">
        <f t="array" ref="Q108">MMS_Poultry_N2ODirect_Equations.VEERG_4_6_1_3__2_Stage1NitrogenInMMS(P$82,G100)</f>
        <v>6.3876479999999995</v>
      </c>
      <c r="R108" s="15" cm="1">
        <f t="array" ref="R108">MMS_Poultry_N2ODirect_Equations.VEERG_4_6_1_3__2_Stage1NitrogenInMMS(Q$82,H100)</f>
        <v>5.4416159999999998</v>
      </c>
      <c r="S108" s="16" t="str">
        <f>$E$92</f>
        <v>kg N</v>
      </c>
    </row>
    <row r="109" spans="1:19" ht="20.100000000000001" customHeight="1" x14ac:dyDescent="0.2">
      <c r="D109" s="15" t="str">
        <f>INDEX(X_Table_Poultry_Stage1MMS,3,1)</f>
        <v>Belt manure removal</v>
      </c>
      <c r="E109" s="15" cm="1">
        <f t="array" ref="E109">MMS_Poultry_N2ODirect_Equations.VEERG_4_6_1_3__2_Stage1NitrogenInMMS(D$82,E101)</f>
        <v>5.0980800000000013</v>
      </c>
      <c r="F109" s="15" cm="1">
        <f t="array" ref="F109">MMS_Poultry_N2ODirect_Equations.VEERG_4_6_1_3__2_Stage1NitrogenInMMS(E$82,F101)</f>
        <v>5.4416159999999998</v>
      </c>
      <c r="G109" s="15" cm="1">
        <f t="array" ref="G109">MMS_Poultry_N2ODirect_Equations.VEERG_4_6_1_3__2_Stage1NitrogenInMMS(F$82,G101)</f>
        <v>6.3876479999999995</v>
      </c>
      <c r="H109" s="15" cm="1">
        <f t="array" ref="H109">MMS_Poultry_N2ODirect_Equations.VEERG_4_6_1_3__2_Stage1NitrogenInMMS(G$82,H101)</f>
        <v>5.4416159999999998</v>
      </c>
      <c r="I109" s="16"/>
      <c r="N109" s="15" t="str">
        <f>INDEX(X_Table_Poultry_Stage1MMS,3,1)</f>
        <v>Belt manure removal</v>
      </c>
      <c r="O109" s="15" cm="1">
        <f t="array" ref="O109">MMS_Poultry_N2ODirect_Equations.VEERG_4_6_1_3__2_Stage1NitrogenInMMS(N$82,E101)</f>
        <v>5.0980800000000013</v>
      </c>
      <c r="P109" s="15" cm="1">
        <f t="array" ref="P109">MMS_Poultry_N2ODirect_Equations.VEERG_4_6_1_3__2_Stage1NitrogenInMMS(O$82,F101)</f>
        <v>5.4416159999999998</v>
      </c>
      <c r="Q109" s="15" cm="1">
        <f t="array" ref="Q109">MMS_Poultry_N2ODirect_Equations.VEERG_4_6_1_3__2_Stage1NitrogenInMMS(P$82,G101)</f>
        <v>6.3876479999999995</v>
      </c>
      <c r="R109" s="15" cm="1">
        <f t="array" ref="R109">MMS_Poultry_N2ODirect_Equations.VEERG_4_6_1_3__2_Stage1NitrogenInMMS(Q$82,H101)</f>
        <v>5.4416159999999998</v>
      </c>
      <c r="S109" s="16"/>
    </row>
    <row r="110" spans="1:19" ht="20.100000000000001" customHeight="1" x14ac:dyDescent="0.2">
      <c r="D110" s="15" t="str">
        <f>INDEX(X_Table_Poultry_Stage1MMS,4,1)</f>
        <v>Manure stored in house</v>
      </c>
      <c r="E110" s="15" cm="1">
        <f t="array" ref="E110">MMS_Poultry_N2ODirect_Equations.VEERG_4_6_1_3__2_Stage1NitrogenInMMS(D$82,E102)</f>
        <v>5.0980800000000013</v>
      </c>
      <c r="F110" s="15" cm="1">
        <f t="array" ref="F110">MMS_Poultry_N2ODirect_Equations.VEERG_4_6_1_3__2_Stage1NitrogenInMMS(E$82,F102)</f>
        <v>5.4416159999999998</v>
      </c>
      <c r="G110" s="15" cm="1">
        <f t="array" ref="G110">MMS_Poultry_N2ODirect_Equations.VEERG_4_6_1_3__2_Stage1NitrogenInMMS(F$82,G102)</f>
        <v>6.3876479999999995</v>
      </c>
      <c r="H110" s="15" cm="1">
        <f t="array" ref="H110">MMS_Poultry_N2ODirect_Equations.VEERG_4_6_1_3__2_Stage1NitrogenInMMS(G$82,H102)</f>
        <v>5.4416159999999998</v>
      </c>
      <c r="I110" s="16"/>
      <c r="N110" s="15" t="str">
        <f>INDEX(X_Table_Poultry_Stage1MMS,4,1)</f>
        <v>Manure stored in house</v>
      </c>
      <c r="O110" s="15" cm="1">
        <f t="array" ref="O110">MMS_Poultry_N2ODirect_Equations.VEERG_4_6_1_3__2_Stage1NitrogenInMMS(N$82,E102)</f>
        <v>5.0980800000000013</v>
      </c>
      <c r="P110" s="15" cm="1">
        <f t="array" ref="P110">MMS_Poultry_N2ODirect_Equations.VEERG_4_6_1_3__2_Stage1NitrogenInMMS(O$82,F102)</f>
        <v>5.4416159999999998</v>
      </c>
      <c r="Q110" s="15" cm="1">
        <f t="array" ref="Q110">MMS_Poultry_N2ODirect_Equations.VEERG_4_6_1_3__2_Stage1NitrogenInMMS(P$82,G102)</f>
        <v>6.3876479999999995</v>
      </c>
      <c r="R110" s="15" cm="1">
        <f t="array" ref="R110">MMS_Poultry_N2ODirect_Equations.VEERG_4_6_1_3__2_Stage1NitrogenInMMS(Q$82,H102)</f>
        <v>5.4416159999999998</v>
      </c>
      <c r="S110" s="16"/>
    </row>
    <row r="111" spans="1:19" ht="20.100000000000001" customHeight="1" x14ac:dyDescent="0.2">
      <c r="D111" s="15" t="str">
        <f>INDEX(X_Table_Poultry_Stage1MMS,5,1)</f>
        <v>Pasture range and paddock</v>
      </c>
      <c r="E111" s="15" cm="1">
        <f t="array" ref="E111">MMS_Poultry_N2ODirect_Equations.VEERG_4_6_1_3__2_Stage1NitrogenInMMS(D$82,E103)</f>
        <v>1.6993600000000004</v>
      </c>
      <c r="F111" s="15" cm="1">
        <f t="array" ref="F111">MMS_Poultry_N2ODirect_Equations.VEERG_4_6_1_3__2_Stage1NitrogenInMMS(E$82,F103)</f>
        <v>1.8138719999999999</v>
      </c>
      <c r="G111" s="15" cm="1">
        <f t="array" ref="G111">MMS_Poultry_N2ODirect_Equations.VEERG_4_6_1_3__2_Stage1NitrogenInMMS(F$82,G103)</f>
        <v>2.129216</v>
      </c>
      <c r="H111" s="15" cm="1">
        <f t="array" ref="H111">MMS_Poultry_N2ODirect_Equations.VEERG_4_6_1_3__2_Stage1NitrogenInMMS(G$82,H103)</f>
        <v>1.8138719999999999</v>
      </c>
      <c r="I111" s="16"/>
      <c r="N111" s="15" t="str">
        <f>INDEX(X_Table_Poultry_Stage1MMS,5,1)</f>
        <v>Pasture range and paddock</v>
      </c>
      <c r="O111" s="15" cm="1">
        <f t="array" ref="O111">MMS_Poultry_N2ODirect_Equations.VEERG_4_6_1_3__2_Stage1NitrogenInMMS(N$82,E103)</f>
        <v>1.6993600000000004</v>
      </c>
      <c r="P111" s="15" cm="1">
        <f t="array" ref="P111">MMS_Poultry_N2ODirect_Equations.VEERG_4_6_1_3__2_Stage1NitrogenInMMS(O$82,F103)</f>
        <v>1.8138719999999999</v>
      </c>
      <c r="Q111" s="15" cm="1">
        <f t="array" ref="Q111">MMS_Poultry_N2ODirect_Equations.VEERG_4_6_1_3__2_Stage1NitrogenInMMS(P$82,G103)</f>
        <v>2.129216</v>
      </c>
      <c r="R111" s="15" cm="1">
        <f t="array" ref="R111">MMS_Poultry_N2ODirect_Equations.VEERG_4_6_1_3__2_Stage1NitrogenInMMS(Q$82,H103)</f>
        <v>1.8138719999999999</v>
      </c>
      <c r="S111" s="16"/>
    </row>
    <row r="114" spans="1:21" ht="20.100000000000001" customHeight="1" x14ac:dyDescent="0.2">
      <c r="C114" s="83"/>
      <c r="D114" s="83"/>
      <c r="E114" s="83"/>
      <c r="F114" s="83"/>
      <c r="G114" s="83"/>
      <c r="H114" s="83"/>
      <c r="I114" s="83"/>
      <c r="J114" s="83"/>
      <c r="K114" s="83"/>
      <c r="M114" s="83"/>
      <c r="N114" s="83"/>
      <c r="O114" s="83"/>
      <c r="P114" s="83"/>
      <c r="Q114" s="83"/>
      <c r="R114" s="83"/>
      <c r="S114" s="83"/>
      <c r="T114" s="83"/>
      <c r="U114" s="83"/>
    </row>
    <row r="115" spans="1:21" ht="20.100000000000001" customHeight="1" x14ac:dyDescent="0.2">
      <c r="D115" s="2" t="str" cm="1">
        <f t="array" ref="D115">MMS_Poultry_N2ODirect_Equations.VEERG_4_6_1_3__7_NitrogenTransferredToStage2MMS_Title()</f>
        <v>Nitrogen transferred to treatment stage 2 MMS</v>
      </c>
    </row>
    <row r="116" spans="1:21" ht="20.100000000000001" customHeight="1" x14ac:dyDescent="0.2">
      <c r="D116" s="17" t="str" cm="1">
        <f t="array" ref="D116">MMS_Poultry_N2ODirect_Equations.VEERG_4_6_1_3__7_NitrogenTransferredToStage2MMS_Source()</f>
        <v>VEERG 2026: 4.6.1.3, Equation (7)</v>
      </c>
    </row>
    <row r="117" spans="1:21" ht="20.100000000000001" customHeight="1" x14ac:dyDescent="0.2">
      <c r="D117" s="112" t="s">
        <v>328</v>
      </c>
      <c r="E117" s="112" t="str" cm="1">
        <f t="array" aca="1" ref="E117" ca="1">Common_InputFunctions.Utility_DisplayFunctionName(E150)</f>
        <v>=MMS_Poultry_N2ODirect_Equations.VEERG_4_6_1_3__7_NitrogenTransferredToStage2MMS</v>
      </c>
    </row>
    <row r="120" spans="1:21" ht="20.100000000000001" customHeight="1" x14ac:dyDescent="0.2">
      <c r="D120" s="75" t="s">
        <v>329</v>
      </c>
      <c r="E120" s="1" t="str" cm="1">
        <f t="array" ref="E120">MMS_Poultry_N2ODirect_Equations.VEERG_4_6_1_3__7_NitrogenTransferredToStage2MMS_Variable()</f>
        <v>NT_jkmT2</v>
      </c>
    </row>
    <row r="121" spans="1:21" ht="20.100000000000001" customHeight="1" x14ac:dyDescent="0.2">
      <c r="D121" s="75" t="s">
        <v>118</v>
      </c>
      <c r="E121" s="9" t="str" cm="1">
        <f t="array" ref="E121">MMS_Poultry_N2ODirect_Equations.VEERG_4_6_1_3__7_NitrogenTransferredToStage2MMS_Unit()</f>
        <v>kg N</v>
      </c>
    </row>
    <row r="123" spans="1:21" ht="20.100000000000001" customHeight="1" x14ac:dyDescent="0.2">
      <c r="D123" s="113" t="str" cm="1">
        <f t="array" ref="D123:E125">_xlfn.CHOOSECOLS(MMS_Poultry_N2ODirect_Equations.VEERG_4_6_1_3__7_NitrogenTransferredToStage2MMS_Arguments(),1,2)</f>
        <v>MN_jkmT1</v>
      </c>
      <c r="E123" s="122" t="str">
        <v>nitrogen in MMS treatment stage 1</v>
      </c>
      <c r="F123" s="123"/>
      <c r="G123" s="113" t="str" cm="1">
        <f t="array" ref="G123:H125">_xlfn.CHOOSECOLS(MMS_Poultry_N2ODirect_Equations.VEERG_4_6_1_3__7_NitrogenTransferredToStage2MMS_Arguments(),3,4)</f>
        <v>kg N</v>
      </c>
      <c r="H123" s="115" t="str">
        <v>Calculated from 4.6.1.3 (6)</v>
      </c>
      <c r="I123" s="116" t="str" cm="1">
        <f t="array" aca="1" ref="I123" ca="1">HYPERLINK(Common_InputFunctions.Utility_SourceHyperlink($D$105),$D$105)</f>
        <v>M1_Table_MN_j_k_m_T-1</v>
      </c>
    </row>
    <row r="124" spans="1:21" ht="20.100000000000001" customHeight="1" x14ac:dyDescent="0.2">
      <c r="D124" s="113" t="str">
        <v>FracGASM_mT1</v>
      </c>
      <c r="E124" s="122" t="str">
        <v>fraction of N volatilised from MMS treatment at stage 1</v>
      </c>
      <c r="F124" s="123"/>
      <c r="G124" s="113" t="str">
        <v>fraction</v>
      </c>
      <c r="H124" s="115" t="str">
        <v>Constant</v>
      </c>
      <c r="I124" s="116" t="str" cm="1">
        <f t="array" aca="1" ref="I124" ca="1">HYPERLINK(Common_InputFunctions.Utility_SourceHyperlink($D$127),$D$127)</f>
        <v>Table_FracGASM_m_T-1</v>
      </c>
    </row>
    <row r="125" spans="1:21" ht="20.100000000000001" customHeight="1" x14ac:dyDescent="0.2">
      <c r="D125" s="113" t="str">
        <v>EF_mT1</v>
      </c>
      <c r="E125" s="122" t="str">
        <v>nitrous oxide emission factor for MMS treatment at stage 1</v>
      </c>
      <c r="F125" s="123"/>
      <c r="G125" s="113" t="str">
        <v>kg N2O-N/kg N</v>
      </c>
      <c r="H125" s="115" t="str">
        <v>Constant</v>
      </c>
      <c r="I125" s="116" t="str" cm="1">
        <f t="array" aca="1" ref="I125" ca="1">HYPERLINK(Common_InputFunctions.Utility_SourceHyperlink($D$135),$D$135)</f>
        <v>Table_EF_m</v>
      </c>
    </row>
    <row r="127" spans="1:21" ht="20.100000000000001" customHeight="1" x14ac:dyDescent="0.2">
      <c r="D127" s="118" t="s">
        <v>401</v>
      </c>
    </row>
    <row r="128" spans="1:21" ht="20.100000000000001" customHeight="1" x14ac:dyDescent="0.2">
      <c r="A128" s="79" t="str">
        <f>HYPERLINK("#A1", "▲ Back to top")</f>
        <v>▲ Back to top</v>
      </c>
      <c r="D128" s="119" t="s">
        <v>402</v>
      </c>
    </row>
    <row r="129" spans="4:6" ht="20.100000000000001" customHeight="1" x14ac:dyDescent="0.2">
      <c r="D129" s="120" t="s">
        <v>314</v>
      </c>
      <c r="E129" s="120" t="s">
        <v>403</v>
      </c>
    </row>
    <row r="130" spans="4:6" ht="20.100000000000001" customHeight="1" x14ac:dyDescent="0.2">
      <c r="D130" s="15" t="str">
        <f>INDEX(X_Table_Poultry_Stage1MMS,2,1)</f>
        <v>Poultry manure with bedding</v>
      </c>
      <c r="E130" s="15" cm="1">
        <f t="array" ref="E130">Common_InputFunctions.Utility_LookupValueInTableNumber(D130, Table_SourceData_Poultry_FracGASM[NIR reference],Table_SourceData_Poultry_FracGASM[FracGASMmT])</f>
        <v>0.3</v>
      </c>
      <c r="F130" s="16" t="str">
        <f>G124</f>
        <v>fraction</v>
      </c>
    </row>
    <row r="131" spans="4:6" ht="20.100000000000001" customHeight="1" x14ac:dyDescent="0.2">
      <c r="D131" s="15" t="str">
        <f>INDEX(X_Table_Poultry_Stage1MMS,3,1)</f>
        <v>Belt manure removal</v>
      </c>
      <c r="E131" s="15" cm="1">
        <f t="array" ref="E131">Common_InputFunctions.Utility_LookupValueInTableNumber(D131, Table_SourceData_Poultry_FracGASM[NIR reference],Table_SourceData_Poultry_FracGASM[FracGASMmT])</f>
        <v>0.05</v>
      </c>
    </row>
    <row r="132" spans="4:6" ht="20.100000000000001" customHeight="1" x14ac:dyDescent="0.2">
      <c r="D132" s="15" t="str">
        <f>INDEX(X_Table_Poultry_Stage1MMS,4,1)</f>
        <v>Manure stored in house</v>
      </c>
      <c r="E132" s="15" cm="1">
        <f t="array" ref="E132">Common_InputFunctions.Utility_LookupValueInTableNumber(D132, Table_SourceData_Poultry_FracGASM[NIR reference],Table_SourceData_Poultry_FracGASM[FracGASMmT])</f>
        <v>0.4</v>
      </c>
    </row>
    <row r="133" spans="4:6" ht="20.100000000000001" customHeight="1" x14ac:dyDescent="0.2">
      <c r="D133" s="15" t="str">
        <f>INDEX(X_Table_Poultry_Stage1MMS,5,1)</f>
        <v>Pasture range and paddock</v>
      </c>
      <c r="E133" s="15" cm="1">
        <f t="array" ref="E133">Common_InputFunctions.Utility_LookupValueInTableNumber(D133, Table_SourceData_Poultry_FracGASM[NIR reference],Table_SourceData_Poultry_FracGASM[FracGASMmT])</f>
        <v>0</v>
      </c>
    </row>
    <row r="135" spans="4:6" ht="20.100000000000001" customHeight="1" x14ac:dyDescent="0.2">
      <c r="D135" s="118" t="s">
        <v>404</v>
      </c>
    </row>
    <row r="136" spans="4:6" ht="20.100000000000001" customHeight="1" x14ac:dyDescent="0.2">
      <c r="D136" s="119" t="s">
        <v>405</v>
      </c>
    </row>
    <row r="137" spans="4:6" ht="20.100000000000001" customHeight="1" x14ac:dyDescent="0.2">
      <c r="D137" s="120" t="s">
        <v>350</v>
      </c>
      <c r="E137" s="120" t="s">
        <v>406</v>
      </c>
    </row>
    <row r="138" spans="4:6" ht="20.100000000000001" customHeight="1" x14ac:dyDescent="0.2">
      <c r="D138" s="15" t="str">
        <f>'Constants - Poultry'!$D$29</f>
        <v>Poultry manure with bedding</v>
      </c>
      <c r="E138" s="15" cm="1">
        <f t="array" ref="E138">Common_InputFunctions.Utility_LookupValueInTableNumber(D138, Table_SourceData_Poultry_EFmT[NIR reference],Table_SourceData_Poultry_EFmT[EFmT])</f>
        <v>1E-3</v>
      </c>
      <c r="F138" s="16" t="str">
        <f>G125</f>
        <v>kg N2O-N/kg N</v>
      </c>
    </row>
    <row r="139" spans="4:6" ht="20.100000000000001" customHeight="1" x14ac:dyDescent="0.2">
      <c r="D139" s="15" t="str">
        <f>'Constants - Poultry'!$D$30</f>
        <v>Belt manure removal</v>
      </c>
      <c r="E139" s="15" cm="1">
        <f t="array" ref="E139">Common_InputFunctions.Utility_LookupValueInTableNumber(D139, Table_SourceData_Poultry_EFmT[NIR reference],Table_SourceData_Poultry_EFmT[EFmT])</f>
        <v>1E-3</v>
      </c>
    </row>
    <row r="140" spans="4:6" ht="20.100000000000001" customHeight="1" x14ac:dyDescent="0.2">
      <c r="D140" s="15" t="str">
        <f>'Constants - Poultry'!$D$31</f>
        <v>Manure stored in house</v>
      </c>
      <c r="E140" s="15" cm="1">
        <f t="array" ref="E140">Common_InputFunctions.Utility_LookupValueInTableNumber(D140, Table_SourceData_Poultry_EFmT[NIR reference],Table_SourceData_Poultry_EFmT[EFmT])</f>
        <v>1E-3</v>
      </c>
    </row>
    <row r="141" spans="4:6" ht="20.100000000000001" customHeight="1" x14ac:dyDescent="0.2">
      <c r="D141" s="15" t="str">
        <f>'Constants - Poultry'!$D$32</f>
        <v>Pasture range and paddock</v>
      </c>
      <c r="E141" s="15" cm="1">
        <f t="array" ref="E141">Common_InputFunctions.Utility_LookupValueInTableNumber(D141, Table_SourceData_Poultry_EFmT[NIR reference],Table_SourceData_Poultry_EFmT[EFmT])</f>
        <v>0.02</v>
      </c>
    </row>
    <row r="142" spans="4:6" ht="20.100000000000001" customHeight="1" x14ac:dyDescent="0.2">
      <c r="D142" s="15" t="str">
        <f>'Constants - Poultry'!$D$33</f>
        <v>Solid storage</v>
      </c>
      <c r="E142" s="15" cm="1">
        <f t="array" ref="E142">Common_InputFunctions.Utility_LookupValueInTableNumber(D142, Table_SourceData_Poultry_EFmT[NIR reference],Table_SourceData_Poultry_EFmT[EFmT])</f>
        <v>5.0000000000000001E-3</v>
      </c>
    </row>
    <row r="143" spans="4:6" ht="20.100000000000001" customHeight="1" x14ac:dyDescent="0.2">
      <c r="D143" s="15" t="str">
        <f>'Constants - Poultry'!$D$34</f>
        <v>Composting (passive windrow)</v>
      </c>
      <c r="E143" s="15" cm="1">
        <f t="array" ref="E143">Common_InputFunctions.Utility_LookupValueInTableNumber(D143, Table_SourceData_Poultry_EFmT[NIR reference],Table_SourceData_Poultry_EFmT[EFmT])</f>
        <v>0.01</v>
      </c>
    </row>
    <row r="144" spans="4:6" ht="20.100000000000001" customHeight="1" x14ac:dyDescent="0.2">
      <c r="D144" s="15" t="str">
        <f>'Constants - Poultry'!$D$35</f>
        <v>Digester / covered lagoons</v>
      </c>
      <c r="E144" s="15" cm="1">
        <f t="array" ref="E144">Common_InputFunctions.Utility_LookupValueInTableNumber(D144, Table_SourceData_Poultry_EFmT[NIR reference],Table_SourceData_Poultry_EFmT[EFmT])</f>
        <v>0</v>
      </c>
    </row>
    <row r="145" spans="1:21" ht="20.100000000000001" customHeight="1" x14ac:dyDescent="0.2">
      <c r="D145" s="15" t="str">
        <f>'Constants - Poultry'!$D$36</f>
        <v>Direct processing</v>
      </c>
      <c r="E145" s="15" cm="1">
        <f t="array" ref="E145">Common_InputFunctions.Utility_LookupValueInTableNumber(D145, Table_SourceData_Poultry_EFmT[NIR reference],Table_SourceData_Poultry_EFmT[EFmT])</f>
        <v>0</v>
      </c>
    </row>
    <row r="147" spans="1:21" ht="20.100000000000001" customHeight="1" x14ac:dyDescent="0.2">
      <c r="D147" s="118" t="s">
        <v>407</v>
      </c>
      <c r="N147" s="118" t="s">
        <v>408</v>
      </c>
    </row>
    <row r="148" spans="1:21" ht="20.100000000000001" customHeight="1" x14ac:dyDescent="0.2">
      <c r="D148" s="119" t="s">
        <v>409</v>
      </c>
      <c r="N148" s="119" t="s">
        <v>410</v>
      </c>
    </row>
    <row r="149" spans="1:21" ht="20.100000000000001" customHeight="1" x14ac:dyDescent="0.2">
      <c r="D149" s="120" t="s">
        <v>314</v>
      </c>
      <c r="E149" s="120" t="s">
        <v>297</v>
      </c>
      <c r="F149" s="120" t="s">
        <v>298</v>
      </c>
      <c r="G149" s="120" t="s">
        <v>299</v>
      </c>
      <c r="H149" s="120" t="s">
        <v>300</v>
      </c>
      <c r="N149" s="120" t="s">
        <v>314</v>
      </c>
      <c r="O149" s="120" t="s">
        <v>297</v>
      </c>
      <c r="P149" s="120" t="s">
        <v>298</v>
      </c>
      <c r="Q149" s="120" t="s">
        <v>299</v>
      </c>
      <c r="R149" s="120" t="s">
        <v>300</v>
      </c>
    </row>
    <row r="150" spans="1:21" ht="20.100000000000001" customHeight="1" x14ac:dyDescent="0.2">
      <c r="D150" s="15" t="str">
        <f>INDEX(X_Table_Poultry_Stage1MMS,2,1)</f>
        <v>Poultry manure with bedding</v>
      </c>
      <c r="E150" s="15" cm="1">
        <f t="array" ref="E150">MMS_Poultry_N2ODirect_Equations.VEERG_4_6_1_3__7_NitrogenTransferredToStage2MMS(E108, _xlfn.XLOOKUP($D150, $D$130:$D$133,$E$130:$E$133), _xlfn.XLOOKUP($D150, $D$138:$D$145,$E$138:$E$145))</f>
        <v>3.5635579200000005</v>
      </c>
      <c r="F150" s="15" cm="1">
        <f t="array" ref="F150">MMS_Poultry_N2ODirect_Equations.VEERG_4_6_1_3__7_NitrogenTransferredToStage2MMS(F108, _xlfn.XLOOKUP($D150, $D$130:$D$133,$E$130:$E$133), _xlfn.XLOOKUP($D150, $D$138:$D$145,$E$138:$E$145))</f>
        <v>3.8036895839999998</v>
      </c>
      <c r="G150" s="15" cm="1">
        <f t="array" ref="G150">MMS_Poultry_N2ODirect_Equations.VEERG_4_6_1_3__7_NitrogenTransferredToStage2MMS(G108, _xlfn.XLOOKUP($D150, $D$130:$D$133,$E$130:$E$133), _xlfn.XLOOKUP($D150, $D$138:$D$145,$E$138:$E$145))</f>
        <v>4.4649659519999991</v>
      </c>
      <c r="H150" s="15" cm="1">
        <f t="array" ref="H150">MMS_Poultry_N2ODirect_Equations.VEERG_4_6_1_3__7_NitrogenTransferredToStage2MMS(H108, _xlfn.XLOOKUP($D150, $D$130:$D$133,$E$130:$E$133), _xlfn.XLOOKUP($D150, $D$138:$D$145,$E$138:$E$145))</f>
        <v>3.8036895839999998</v>
      </c>
      <c r="I150" s="16" t="str">
        <f>$E$121</f>
        <v>kg N</v>
      </c>
      <c r="N150" s="15" t="str">
        <f>INDEX(X_Table_Poultry_Stage1MMS,2,1)</f>
        <v>Poultry manure with bedding</v>
      </c>
      <c r="O150" s="15" cm="1">
        <f t="array" ref="O150">MMS_Poultry_N2ODirect_Equations.VEERG_4_6_1_3__7_NitrogenTransferredToStage2MMS(O108, _xlfn.XLOOKUP($N150, $D$130:$D$133,$E$130:$E$133), _xlfn.XLOOKUP($N150, $D$138:$D$145,$E$138:$E$145))</f>
        <v>3.5635579200000005</v>
      </c>
      <c r="P150" s="15" cm="1">
        <f t="array" ref="P150">MMS_Poultry_N2ODirect_Equations.VEERG_4_6_1_3__7_NitrogenTransferredToStage2MMS(P108, _xlfn.XLOOKUP($N150, $D$130:$D$133,$E$130:$E$133), _xlfn.XLOOKUP($N150, $D$138:$D$145,$E$138:$E$145))</f>
        <v>3.8036895839999998</v>
      </c>
      <c r="Q150" s="15" cm="1">
        <f t="array" ref="Q150">MMS_Poultry_N2ODirect_Equations.VEERG_4_6_1_3__7_NitrogenTransferredToStage2MMS(Q108, _xlfn.XLOOKUP($N150, $D$130:$D$133,$E$130:$E$133), _xlfn.XLOOKUP($N150, $D$138:$D$145,$E$138:$E$145))</f>
        <v>4.4649659519999991</v>
      </c>
      <c r="R150" s="15" cm="1">
        <f t="array" ref="R150">MMS_Poultry_N2ODirect_Equations.VEERG_4_6_1_3__7_NitrogenTransferredToStage2MMS(R108, _xlfn.XLOOKUP($N150, $D$130:$D$133,$E$130:$E$133), _xlfn.XLOOKUP($N150, $D$138:$D$145,$E$138:$E$145))</f>
        <v>3.8036895839999998</v>
      </c>
      <c r="S150" s="16" t="str">
        <f t="shared" ref="S150" si="0">$E$121</f>
        <v>kg N</v>
      </c>
    </row>
    <row r="151" spans="1:21" ht="20.100000000000001" customHeight="1" x14ac:dyDescent="0.2">
      <c r="D151" s="15" t="str">
        <f>INDEX(X_Table_Poultry_Stage1MMS,3,1)</f>
        <v>Belt manure removal</v>
      </c>
      <c r="E151" s="15" cm="1">
        <f t="array" ref="E151">MMS_Poultry_N2ODirect_Equations.VEERG_4_6_1_3__7_NitrogenTransferredToStage2MMS(E109, _xlfn.XLOOKUP($D151, $D$130:$D$133,$E$130:$E$133), _xlfn.XLOOKUP($D151, $D$138:$D$145,$E$138:$E$145))</f>
        <v>4.8380779200000008</v>
      </c>
      <c r="F151" s="15" cm="1">
        <f t="array" ref="F151">MMS_Poultry_N2ODirect_Equations.VEERG_4_6_1_3__7_NitrogenTransferredToStage2MMS(F109, _xlfn.XLOOKUP($D151, $D$130:$D$133,$E$130:$E$133), _xlfn.XLOOKUP($D151, $D$138:$D$145,$E$138:$E$145))</f>
        <v>5.1640935839999997</v>
      </c>
      <c r="G151" s="15" cm="1">
        <f t="array" ref="G151">MMS_Poultry_N2ODirect_Equations.VEERG_4_6_1_3__7_NitrogenTransferredToStage2MMS(G109, _xlfn.XLOOKUP($D151, $D$130:$D$133,$E$130:$E$133), _xlfn.XLOOKUP($D151, $D$138:$D$145,$E$138:$E$145))</f>
        <v>6.0618779519999997</v>
      </c>
      <c r="H151" s="15" cm="1">
        <f t="array" ref="H151">MMS_Poultry_N2ODirect_Equations.VEERG_4_6_1_3__7_NitrogenTransferredToStage2MMS(H109, _xlfn.XLOOKUP($D151, $D$130:$D$133,$E$130:$E$133), _xlfn.XLOOKUP($D151, $D$138:$D$145,$E$138:$E$145))</f>
        <v>5.1640935839999997</v>
      </c>
      <c r="I151" s="16"/>
      <c r="N151" s="15" t="str">
        <f>INDEX(X_Table_Poultry_Stage1MMS,3,1)</f>
        <v>Belt manure removal</v>
      </c>
      <c r="O151" s="15" cm="1">
        <f t="array" ref="O151">MMS_Poultry_N2ODirect_Equations.VEERG_4_6_1_3__7_NitrogenTransferredToStage2MMS(O109, _xlfn.XLOOKUP($N151, $D$130:$D$133,$E$130:$E$133), _xlfn.XLOOKUP($N151, $D$138:$D$145,$E$138:$E$145))</f>
        <v>4.8380779200000008</v>
      </c>
      <c r="P151" s="15" cm="1">
        <f t="array" ref="P151">MMS_Poultry_N2ODirect_Equations.VEERG_4_6_1_3__7_NitrogenTransferredToStage2MMS(P109, _xlfn.XLOOKUP($N151, $D$130:$D$133,$E$130:$E$133), _xlfn.XLOOKUP($N151, $D$138:$D$145,$E$138:$E$145))</f>
        <v>5.1640935839999997</v>
      </c>
      <c r="Q151" s="15" cm="1">
        <f t="array" ref="Q151">MMS_Poultry_N2ODirect_Equations.VEERG_4_6_1_3__7_NitrogenTransferredToStage2MMS(Q109, _xlfn.XLOOKUP($N151, $D$130:$D$133,$E$130:$E$133), _xlfn.XLOOKUP($N151, $D$138:$D$145,$E$138:$E$145))</f>
        <v>6.0618779519999997</v>
      </c>
      <c r="R151" s="15" cm="1">
        <f t="array" ref="R151">MMS_Poultry_N2ODirect_Equations.VEERG_4_6_1_3__7_NitrogenTransferredToStage2MMS(R109, _xlfn.XLOOKUP($N151, $D$130:$D$133,$E$130:$E$133), _xlfn.XLOOKUP($N151, $D$138:$D$145,$E$138:$E$145))</f>
        <v>5.1640935839999997</v>
      </c>
      <c r="S151" s="16"/>
    </row>
    <row r="152" spans="1:21" ht="20.100000000000001" customHeight="1" x14ac:dyDescent="0.2">
      <c r="D152" s="15" t="str">
        <f>INDEX(X_Table_Poultry_Stage1MMS,4,1)</f>
        <v>Manure stored in house</v>
      </c>
      <c r="E152" s="15" cm="1">
        <f t="array" ref="E152">MMS_Poultry_N2ODirect_Equations.VEERG_4_6_1_3__7_NitrogenTransferredToStage2MMS(E110, _xlfn.XLOOKUP($D152, $D$130:$D$133,$E$130:$E$133), _xlfn.XLOOKUP($D152, $D$138:$D$145,$E$138:$E$145))</f>
        <v>3.0537499200000005</v>
      </c>
      <c r="F152" s="15" cm="1">
        <f t="array" ref="F152">MMS_Poultry_N2ODirect_Equations.VEERG_4_6_1_3__7_NitrogenTransferredToStage2MMS(F110, _xlfn.XLOOKUP($D152, $D$130:$D$133,$E$130:$E$133), _xlfn.XLOOKUP($D152, $D$138:$D$145,$E$138:$E$145))</f>
        <v>3.2595279839999995</v>
      </c>
      <c r="G152" s="15" cm="1">
        <f t="array" ref="G152">MMS_Poultry_N2ODirect_Equations.VEERG_4_6_1_3__7_NitrogenTransferredToStage2MMS(G110, _xlfn.XLOOKUP($D152, $D$130:$D$133,$E$130:$E$133), _xlfn.XLOOKUP($D152, $D$138:$D$145,$E$138:$E$145))</f>
        <v>3.8262011519999994</v>
      </c>
      <c r="H152" s="15" cm="1">
        <f t="array" ref="H152">MMS_Poultry_N2ODirect_Equations.VEERG_4_6_1_3__7_NitrogenTransferredToStage2MMS(H110, _xlfn.XLOOKUP($D152, $D$130:$D$133,$E$130:$E$133), _xlfn.XLOOKUP($D152, $D$138:$D$145,$E$138:$E$145))</f>
        <v>3.2595279839999995</v>
      </c>
      <c r="I152" s="16"/>
      <c r="N152" s="15" t="str">
        <f>INDEX(X_Table_Poultry_Stage1MMS,4,1)</f>
        <v>Manure stored in house</v>
      </c>
      <c r="O152" s="15" cm="1">
        <f t="array" ref="O152">MMS_Poultry_N2ODirect_Equations.VEERG_4_6_1_3__7_NitrogenTransferredToStage2MMS(O110, _xlfn.XLOOKUP($N152, $D$130:$D$133,$E$130:$E$133), _xlfn.XLOOKUP($N152, $D$138:$D$145,$E$138:$E$145))</f>
        <v>3.0537499200000005</v>
      </c>
      <c r="P152" s="15" cm="1">
        <f t="array" ref="P152">MMS_Poultry_N2ODirect_Equations.VEERG_4_6_1_3__7_NitrogenTransferredToStage2MMS(P110, _xlfn.XLOOKUP($N152, $D$130:$D$133,$E$130:$E$133), _xlfn.XLOOKUP($N152, $D$138:$D$145,$E$138:$E$145))</f>
        <v>3.2595279839999995</v>
      </c>
      <c r="Q152" s="15" cm="1">
        <f t="array" ref="Q152">MMS_Poultry_N2ODirect_Equations.VEERG_4_6_1_3__7_NitrogenTransferredToStage2MMS(Q110, _xlfn.XLOOKUP($N152, $D$130:$D$133,$E$130:$E$133), _xlfn.XLOOKUP($N152, $D$138:$D$145,$E$138:$E$145))</f>
        <v>3.8262011519999994</v>
      </c>
      <c r="R152" s="15" cm="1">
        <f t="array" ref="R152">MMS_Poultry_N2ODirect_Equations.VEERG_4_6_1_3__7_NitrogenTransferredToStage2MMS(R110, _xlfn.XLOOKUP($N152, $D$130:$D$133,$E$130:$E$133), _xlfn.XLOOKUP($N152, $D$138:$D$145,$E$138:$E$145))</f>
        <v>3.2595279839999995</v>
      </c>
      <c r="S152" s="16"/>
    </row>
    <row r="155" spans="1:21" ht="20.100000000000001" customHeight="1" x14ac:dyDescent="0.2">
      <c r="C155" s="83"/>
      <c r="D155" s="83"/>
      <c r="E155" s="83"/>
      <c r="F155" s="83"/>
      <c r="G155" s="83"/>
      <c r="H155" s="83"/>
      <c r="I155" s="83"/>
      <c r="J155" s="83"/>
      <c r="K155" s="83"/>
      <c r="M155" s="83"/>
      <c r="N155" s="83"/>
      <c r="O155" s="83"/>
      <c r="P155" s="83"/>
      <c r="Q155" s="83"/>
      <c r="R155" s="83"/>
      <c r="S155" s="83"/>
      <c r="T155" s="83"/>
      <c r="U155" s="83"/>
    </row>
    <row r="156" spans="1:21" ht="20.100000000000001" customHeight="1" x14ac:dyDescent="0.2">
      <c r="D156" s="2" t="str" cm="1">
        <f t="array" ref="D156">MMS_Poultry_N2ODirect_Equations.VEERG_4_6_1_3__6_Stage2NitrogenInMMS_Title()</f>
        <v>Nitrogen in treatment stage 2 MMS</v>
      </c>
    </row>
    <row r="157" spans="1:21" ht="20.100000000000001" customHeight="1" x14ac:dyDescent="0.2">
      <c r="D157" s="17" t="str" cm="1">
        <f t="array" ref="D157">MMS_Poultry_N2ODirect_Equations.VEERG_4_6_1_3__6_Stage2NitrogenInMMS_Source()</f>
        <v>VEERG 2026: 4.6.1.3, Equation (6)</v>
      </c>
    </row>
    <row r="158" spans="1:21" ht="20.100000000000001" customHeight="1" x14ac:dyDescent="0.2">
      <c r="A158" s="79" t="str">
        <f>HYPERLINK("#A1", "▲ Back to top")</f>
        <v>▲ Back to top</v>
      </c>
      <c r="D158" s="112" t="s">
        <v>328</v>
      </c>
      <c r="E158" s="112" t="str" cm="1">
        <f t="array" aca="1" ref="E158" ca="1">Common_InputFunctions.Utility_DisplayFunctionName(F189)</f>
        <v>=MMS_Poultry_N2ODirect_Equations.VEERG_4_6_1_3__6_Stage2NitrogenInMMS</v>
      </c>
    </row>
    <row r="161" spans="4:10" ht="20.100000000000001" customHeight="1" x14ac:dyDescent="0.2">
      <c r="D161" s="75" t="s">
        <v>329</v>
      </c>
      <c r="E161" s="1" t="str" cm="1">
        <f t="array" ref="E161">MMS_Poultry_N2ODirect_Equations.VEERG_4_6_1_3__6_Stage2NitrogenInMMS_Variable()</f>
        <v>MN_jkmT2</v>
      </c>
    </row>
    <row r="162" spans="4:10" ht="20.100000000000001" customHeight="1" x14ac:dyDescent="0.2">
      <c r="D162" s="75" t="s">
        <v>118</v>
      </c>
      <c r="E162" s="9" t="str" cm="1">
        <f t="array" ref="E162">MMS_Poultry_N2ODirect_Equations.VEERG_4_6_1_3__6_Stage2NitrogenInMMS_Unit()</f>
        <v>kg N</v>
      </c>
    </row>
    <row r="164" spans="4:10" ht="20.100000000000001" customHeight="1" x14ac:dyDescent="0.2">
      <c r="D164" s="113" t="str" cm="1">
        <f t="array" ref="D164:E165">_xlfn.CHOOSECOLS(MMS_Poultry_N2ODirect_Equations.VEERG_4_6_1_3__6_Stage2NitrogenInMMS_Arguments(),1,2)</f>
        <v>NT_jkmT2</v>
      </c>
      <c r="E164" s="113" t="str">
        <v>nitrogen transferred to secondary treatment MMS</v>
      </c>
      <c r="F164" s="113"/>
      <c r="G164" s="113" t="str" cm="1">
        <f t="array" ref="G164:H165">_xlfn.CHOOSECOLS(MMS_Poultry_N2ODirect_Equations.VEERG_4_6_1_3__6_Stage2NitrogenInMMS_Arguments(),3,4)</f>
        <v>kg N</v>
      </c>
      <c r="H164" s="115" t="str">
        <v>Calculated from 4.6.1.3 (7)</v>
      </c>
      <c r="I164" s="116" t="str" cm="1">
        <f t="array" aca="1" ref="I164" ca="1">HYPERLINK(Common_InputFunctions.Utility_SourceHyperlink($D$147),$D$147)</f>
        <v>M1_Table_NT_j_k_m_T-1</v>
      </c>
    </row>
    <row r="165" spans="4:10" ht="20.100000000000001" customHeight="1" x14ac:dyDescent="0.2">
      <c r="D165" s="113" t="str">
        <v>MMS_mT2</v>
      </c>
      <c r="E165" s="113" t="str">
        <v>fraction of manure in each secondary system</v>
      </c>
      <c r="F165" s="113"/>
      <c r="G165" s="113" t="str">
        <v>fraction</v>
      </c>
      <c r="H165" s="114" t="str">
        <v>Input</v>
      </c>
      <c r="I165" s="116" t="str" cm="1">
        <f t="array" aca="1" ref="I165" ca="1">HYPERLINK(Common_InputFunctions.Utility_SourceHyperlink($D$167),$D$167)</f>
        <v>Table_MMS_j_m_T-2</v>
      </c>
    </row>
    <row r="167" spans="4:10" ht="20.100000000000001" customHeight="1" x14ac:dyDescent="0.2">
      <c r="D167" s="118" t="s">
        <v>364</v>
      </c>
    </row>
    <row r="168" spans="4:10" ht="20.100000000000001" customHeight="1" x14ac:dyDescent="0.2">
      <c r="D168" s="119" t="s">
        <v>365</v>
      </c>
    </row>
    <row r="169" spans="4:10" ht="20.100000000000001" customHeight="1" x14ac:dyDescent="0.2">
      <c r="D169" s="78" t="s">
        <v>314</v>
      </c>
      <c r="E169" s="78" t="s">
        <v>318</v>
      </c>
      <c r="F169" s="78" t="s">
        <v>297</v>
      </c>
      <c r="G169" s="78" t="s">
        <v>298</v>
      </c>
      <c r="H169" s="78" t="s">
        <v>299</v>
      </c>
      <c r="I169" s="78" t="s">
        <v>300</v>
      </c>
    </row>
    <row r="170" spans="4:10" ht="20.100000000000001" customHeight="1" x14ac:dyDescent="0.2">
      <c r="D170" s="15" t="str">
        <f>INDEX(X_Table_Poultry_Stage1MMS,2,1)</f>
        <v>Poultry manure with bedding</v>
      </c>
      <c r="E170" s="15" t="str">
        <f>INDEX(X_Table_Poultry_Stage2MMS_PoultryManureWithBedding,2,1)</f>
        <v>Solid storage</v>
      </c>
      <c r="F170" s="15">
        <f>INDEX(X_Table_Poultry_Stage2MMS_PoultryManureWithBedding,2,2)</f>
        <v>0.2</v>
      </c>
      <c r="G170" s="15">
        <f>INDEX(X_Table_Poultry_Stage2MMS_PoultryManureWithBedding,2,3)</f>
        <v>0.2</v>
      </c>
      <c r="H170" s="15">
        <f>INDEX(X_Table_Poultry_Stage2MMS_PoultryManureWithBedding,2,4)</f>
        <v>0.2</v>
      </c>
      <c r="I170" s="15">
        <f>INDEX(X_Table_Poultry_Stage2MMS_PoultryManureWithBedding,2,5)</f>
        <v>0.2</v>
      </c>
      <c r="J170" s="16" t="str">
        <f>$G$165</f>
        <v>fraction</v>
      </c>
    </row>
    <row r="171" spans="4:10" ht="20.100000000000001" customHeight="1" x14ac:dyDescent="0.2">
      <c r="D171" s="15"/>
      <c r="E171" s="15" t="str">
        <f>INDEX(X_Table_Poultry_Stage2MMS_PoultryManureWithBedding,3,1)</f>
        <v>Composting (passive windrow)</v>
      </c>
      <c r="F171" s="15">
        <f>INDEX(X_Table_Poultry_Stage2MMS_PoultryManureWithBedding,3,2)</f>
        <v>0.2</v>
      </c>
      <c r="G171" s="15">
        <f>INDEX(X_Table_Poultry_Stage2MMS_PoultryManureWithBedding,3,3)</f>
        <v>0.2</v>
      </c>
      <c r="H171" s="15">
        <f>INDEX(X_Table_Poultry_Stage2MMS_PoultryManureWithBedding,3,4)</f>
        <v>0.2</v>
      </c>
      <c r="I171" s="15">
        <f>INDEX(X_Table_Poultry_Stage2MMS_PoultryManureWithBedding,3,5)</f>
        <v>0.2</v>
      </c>
      <c r="J171" s="16"/>
    </row>
    <row r="172" spans="4:10" ht="20.100000000000001" customHeight="1" x14ac:dyDescent="0.2">
      <c r="D172" s="15"/>
      <c r="E172" s="15" t="str">
        <f>INDEX(X_Table_Poultry_Stage2MMS_PoultryManureWithBedding,4,1)</f>
        <v>Digester / covered lagoons</v>
      </c>
      <c r="F172" s="15">
        <f>INDEX(X_Table_Poultry_Stage2MMS_PoultryManureWithBedding,4,2)</f>
        <v>0.2</v>
      </c>
      <c r="G172" s="15">
        <f>INDEX(X_Table_Poultry_Stage2MMS_PoultryManureWithBedding,4,3)</f>
        <v>0.2</v>
      </c>
      <c r="H172" s="15">
        <f>INDEX(X_Table_Poultry_Stage2MMS_PoultryManureWithBedding,4,4)</f>
        <v>0.2</v>
      </c>
      <c r="I172" s="15">
        <f>INDEX(X_Table_Poultry_Stage2MMS_PoultryManureWithBedding,4,5)</f>
        <v>0.2</v>
      </c>
      <c r="J172" s="16"/>
    </row>
    <row r="173" spans="4:10" ht="20.100000000000001" customHeight="1" x14ac:dyDescent="0.2">
      <c r="D173" s="15"/>
      <c r="E173" s="15" t="str">
        <f>INDEX(X_Table_Poultry_Stage2MMS_PoultryManureWithBedding,5,1)</f>
        <v>Direct processing</v>
      </c>
      <c r="F173" s="15">
        <f>INDEX(X_Table_Poultry_Stage2MMS_PoultryManureWithBedding,5,2)</f>
        <v>0.2</v>
      </c>
      <c r="G173" s="15">
        <f>INDEX(X_Table_Poultry_Stage2MMS_PoultryManureWithBedding,5,3)</f>
        <v>0.2</v>
      </c>
      <c r="H173" s="15">
        <f>INDEX(X_Table_Poultry_Stage2MMS_PoultryManureWithBedding,5,4)</f>
        <v>0.2</v>
      </c>
      <c r="I173" s="15">
        <f>INDEX(X_Table_Poultry_Stage2MMS_PoultryManureWithBedding,5,5)</f>
        <v>0.2</v>
      </c>
      <c r="J173" s="16"/>
    </row>
    <row r="174" spans="4:10" ht="20.100000000000001" customHeight="1" x14ac:dyDescent="0.2">
      <c r="D174" s="15"/>
      <c r="E174" s="15" t="str">
        <f>INDEX(X_Table_Poultry_Stage2MMS_PoultryManureWithBedding,6,1)</f>
        <v>Direct application</v>
      </c>
      <c r="F174" s="15">
        <f>INDEX(X_Table_Poultry_Stage2MMS_PoultryManureWithBedding,6,2)</f>
        <v>0.19999999999999996</v>
      </c>
      <c r="G174" s="15">
        <f>INDEX(X_Table_Poultry_Stage2MMS_PoultryManureWithBedding,6,3)</f>
        <v>0.19999999999999996</v>
      </c>
      <c r="H174" s="15">
        <f>INDEX(X_Table_Poultry_Stage2MMS_PoultryManureWithBedding,6,4)</f>
        <v>0.19999999999999996</v>
      </c>
      <c r="I174" s="15">
        <f>INDEX(X_Table_Poultry_Stage2MMS_PoultryManureWithBedding,6,5)</f>
        <v>0.19999999999999996</v>
      </c>
    </row>
    <row r="175" spans="4:10" ht="20.100000000000001" customHeight="1" x14ac:dyDescent="0.2">
      <c r="D175" s="15" t="str">
        <f>INDEX(X_Table_Poultry_Stage1MMS,3,1)</f>
        <v>Belt manure removal</v>
      </c>
      <c r="E175" s="15" t="str">
        <f>INDEX(X_Table_Poultry_Stage2MMS_BeltManureRemoval,2,1)</f>
        <v>Solid storage</v>
      </c>
      <c r="F175" s="15">
        <f>INDEX(X_Table_Poultry_Stage2MMS_BeltManureRemoval,2,2)</f>
        <v>0.2</v>
      </c>
      <c r="G175" s="15">
        <f>INDEX(X_Table_Poultry_Stage2MMS_BeltManureRemoval,2,3)</f>
        <v>0.2</v>
      </c>
      <c r="H175" s="15">
        <f>INDEX(X_Table_Poultry_Stage2MMS_BeltManureRemoval,2,4)</f>
        <v>0.2</v>
      </c>
      <c r="I175" s="15">
        <f>INDEX(X_Table_Poultry_Stage2MMS_BeltManureRemoval,2,5)</f>
        <v>0.2</v>
      </c>
      <c r="J175" s="16"/>
    </row>
    <row r="176" spans="4:10" ht="20.100000000000001" customHeight="1" x14ac:dyDescent="0.2">
      <c r="D176" s="15"/>
      <c r="E176" s="15" t="str">
        <f>INDEX(X_Table_Poultry_Stage2MMS_BeltManureRemoval,3,1)</f>
        <v>Composting (passive windrow)</v>
      </c>
      <c r="F176" s="15">
        <f>INDEX(X_Table_Poultry_Stage2MMS_BeltManureRemoval,3,2)</f>
        <v>0.2</v>
      </c>
      <c r="G176" s="15">
        <f>INDEX(X_Table_Poultry_Stage2MMS_BeltManureRemoval,3,3)</f>
        <v>0.2</v>
      </c>
      <c r="H176" s="15">
        <f>INDEX(X_Table_Poultry_Stage2MMS_BeltManureRemoval,3,4)</f>
        <v>0.2</v>
      </c>
      <c r="I176" s="15">
        <f>INDEX(X_Table_Poultry_Stage2MMS_BeltManureRemoval,3,5)</f>
        <v>0.2</v>
      </c>
      <c r="J176" s="16"/>
    </row>
    <row r="177" spans="1:20" ht="20.100000000000001" customHeight="1" x14ac:dyDescent="0.2">
      <c r="D177" s="15"/>
      <c r="E177" s="15" t="str">
        <f>INDEX(X_Table_Poultry_Stage2MMS_BeltManureRemoval,4,1)</f>
        <v>Digester / covered lagoons</v>
      </c>
      <c r="F177" s="15">
        <f>INDEX(X_Table_Poultry_Stage2MMS_BeltManureRemoval,4,2)</f>
        <v>0.2</v>
      </c>
      <c r="G177" s="15">
        <f>INDEX(X_Table_Poultry_Stage2MMS_BeltManureRemoval,4,3)</f>
        <v>0.2</v>
      </c>
      <c r="H177" s="15">
        <f>INDEX(X_Table_Poultry_Stage2MMS_BeltManureRemoval,4,4)</f>
        <v>0.2</v>
      </c>
      <c r="I177" s="15">
        <f>INDEX(X_Table_Poultry_Stage2MMS_BeltManureRemoval,4,5)</f>
        <v>0.2</v>
      </c>
      <c r="J177" s="16"/>
    </row>
    <row r="178" spans="1:20" ht="20.100000000000001" customHeight="1" x14ac:dyDescent="0.2">
      <c r="D178" s="15"/>
      <c r="E178" s="15" t="str">
        <f>INDEX(X_Table_Poultry_Stage2MMS_BeltManureRemoval,5,1)</f>
        <v>Direct processing</v>
      </c>
      <c r="F178" s="15">
        <f>INDEX(X_Table_Poultry_Stage2MMS_BeltManureRemoval,5,2)</f>
        <v>0.2</v>
      </c>
      <c r="G178" s="15">
        <f>INDEX(X_Table_Poultry_Stage2MMS_BeltManureRemoval,5,3)</f>
        <v>0.2</v>
      </c>
      <c r="H178" s="15">
        <f>INDEX(X_Table_Poultry_Stage2MMS_BeltManureRemoval,5,4)</f>
        <v>0.2</v>
      </c>
      <c r="I178" s="15">
        <f>INDEX(X_Table_Poultry_Stage2MMS_BeltManureRemoval,5,5)</f>
        <v>0.2</v>
      </c>
      <c r="J178" s="16"/>
    </row>
    <row r="179" spans="1:20" ht="20.100000000000001" customHeight="1" x14ac:dyDescent="0.2">
      <c r="D179" s="15"/>
      <c r="E179" s="15" t="str">
        <f>INDEX(X_Table_Poultry_Stage2MMS_BeltManureRemoval,6,1)</f>
        <v>Direct application</v>
      </c>
      <c r="F179" s="15">
        <f>INDEX(X_Table_Poultry_Stage2MMS_BeltManureRemoval,6,2)</f>
        <v>0.19999999999999996</v>
      </c>
      <c r="G179" s="15">
        <f>INDEX(X_Table_Poultry_Stage2MMS_BeltManureRemoval,6,3)</f>
        <v>0.19999999999999996</v>
      </c>
      <c r="H179" s="15">
        <f>INDEX(X_Table_Poultry_Stage2MMS_BeltManureRemoval,6,4)</f>
        <v>0.19999999999999996</v>
      </c>
      <c r="I179" s="15">
        <f>INDEX(X_Table_Poultry_Stage2MMS_BeltManureRemoval,6,5)</f>
        <v>0.19999999999999996</v>
      </c>
    </row>
    <row r="180" spans="1:20" ht="20.100000000000001" customHeight="1" x14ac:dyDescent="0.2">
      <c r="D180" s="15" t="str">
        <f>INDEX(X_Table_Poultry_Stage1MMS,4,1)</f>
        <v>Manure stored in house</v>
      </c>
      <c r="E180" s="15" t="str">
        <f>INDEX(X_Table_Poultry_Stage2MMS_ManureStoredInHouse,2,1)</f>
        <v>Solid storage</v>
      </c>
      <c r="F180" s="15">
        <f>INDEX(X_Table_Poultry_Stage2MMS_ManureStoredInHouse,2,2)</f>
        <v>0.2</v>
      </c>
      <c r="G180" s="15">
        <f>INDEX(X_Table_Poultry_Stage2MMS_ManureStoredInHouse,2,3)</f>
        <v>0.2</v>
      </c>
      <c r="H180" s="15">
        <f>INDEX(X_Table_Poultry_Stage2MMS_ManureStoredInHouse,2,4)</f>
        <v>0.2</v>
      </c>
      <c r="I180" s="15">
        <f>INDEX(X_Table_Poultry_Stage2MMS_ManureStoredInHouse,2,5)</f>
        <v>0.2</v>
      </c>
      <c r="J180" s="16"/>
    </row>
    <row r="181" spans="1:20" ht="20.100000000000001" customHeight="1" x14ac:dyDescent="0.2">
      <c r="D181" s="15"/>
      <c r="E181" s="15" t="str">
        <f>INDEX(X_Table_Poultry_Stage2MMS_ManureStoredInHouse,3,1)</f>
        <v>Composting (passive windrow)</v>
      </c>
      <c r="F181" s="15">
        <f>INDEX(X_Table_Poultry_Stage2MMS_ManureStoredInHouse,3,2)</f>
        <v>0.2</v>
      </c>
      <c r="G181" s="15">
        <f>INDEX(X_Table_Poultry_Stage2MMS_ManureStoredInHouse,3,3)</f>
        <v>0.2</v>
      </c>
      <c r="H181" s="15">
        <f>INDEX(X_Table_Poultry_Stage2MMS_ManureStoredInHouse,3,4)</f>
        <v>0.2</v>
      </c>
      <c r="I181" s="15">
        <f>INDEX(X_Table_Poultry_Stage2MMS_ManureStoredInHouse,3,5)</f>
        <v>0.2</v>
      </c>
      <c r="J181" s="16"/>
    </row>
    <row r="182" spans="1:20" ht="20.100000000000001" customHeight="1" x14ac:dyDescent="0.2">
      <c r="D182" s="15"/>
      <c r="E182" s="15" t="str">
        <f>INDEX(X_Table_Poultry_Stage2MMS_ManureStoredInHouse,4,1)</f>
        <v>Digester / covered lagoons</v>
      </c>
      <c r="F182" s="15">
        <f>INDEX(X_Table_Poultry_Stage2MMS_ManureStoredInHouse,4,2)</f>
        <v>0.2</v>
      </c>
      <c r="G182" s="15">
        <f>INDEX(X_Table_Poultry_Stage2MMS_ManureStoredInHouse,4,3)</f>
        <v>0.2</v>
      </c>
      <c r="H182" s="15">
        <f>INDEX(X_Table_Poultry_Stage2MMS_ManureStoredInHouse,4,4)</f>
        <v>0.2</v>
      </c>
      <c r="I182" s="15">
        <f>INDEX(X_Table_Poultry_Stage2MMS_ManureStoredInHouse,4,5)</f>
        <v>0.2</v>
      </c>
      <c r="J182" s="16"/>
    </row>
    <row r="183" spans="1:20" ht="20.100000000000001" customHeight="1" x14ac:dyDescent="0.2">
      <c r="D183" s="15"/>
      <c r="E183" s="15" t="str">
        <f>INDEX(X_Table_Poultry_Stage2MMS_ManureStoredInHouse,5,1)</f>
        <v>Direct processing</v>
      </c>
      <c r="F183" s="15">
        <f>INDEX(X_Table_Poultry_Stage2MMS_ManureStoredInHouse,5,2)</f>
        <v>0.2</v>
      </c>
      <c r="G183" s="15">
        <f>INDEX(X_Table_Poultry_Stage2MMS_ManureStoredInHouse,5,3)</f>
        <v>0.2</v>
      </c>
      <c r="H183" s="15">
        <f>INDEX(X_Table_Poultry_Stage2MMS_ManureStoredInHouse,5,4)</f>
        <v>0.2</v>
      </c>
      <c r="I183" s="15">
        <f>INDEX(X_Table_Poultry_Stage2MMS_ManureStoredInHouse,5,5)</f>
        <v>0.2</v>
      </c>
      <c r="J183" s="16"/>
    </row>
    <row r="184" spans="1:20" ht="20.100000000000001" customHeight="1" x14ac:dyDescent="0.2">
      <c r="D184" s="15"/>
      <c r="E184" s="15" t="str">
        <f>INDEX(X_Table_Poultry_Stage2MMS_ManureStoredInHouse,6,1)</f>
        <v>Direct application</v>
      </c>
      <c r="F184" s="15">
        <f>INDEX(X_Table_Poultry_Stage2MMS_ManureStoredInHouse,6,2)</f>
        <v>0.19999999999999996</v>
      </c>
      <c r="G184" s="15">
        <f>INDEX(X_Table_Poultry_Stage2MMS_ManureStoredInHouse,6,3)</f>
        <v>0.19999999999999996</v>
      </c>
      <c r="H184" s="15">
        <f>INDEX(X_Table_Poultry_Stage2MMS_ManureStoredInHouse,6,4)</f>
        <v>0.19999999999999996</v>
      </c>
      <c r="I184" s="15">
        <f>INDEX(X_Table_Poultry_Stage2MMS_ManureStoredInHouse,6,5)</f>
        <v>0.19999999999999996</v>
      </c>
    </row>
    <row r="186" spans="1:20" ht="20.100000000000001" customHeight="1" x14ac:dyDescent="0.2">
      <c r="D186" s="118" t="s">
        <v>411</v>
      </c>
      <c r="N186" s="118" t="s">
        <v>412</v>
      </c>
    </row>
    <row r="187" spans="1:20" ht="20.100000000000001" customHeight="1" x14ac:dyDescent="0.2">
      <c r="D187" s="119" t="s">
        <v>413</v>
      </c>
      <c r="N187" s="119" t="s">
        <v>414</v>
      </c>
    </row>
    <row r="188" spans="1:20" ht="20.100000000000001" customHeight="1" x14ac:dyDescent="0.2">
      <c r="A188" s="79" t="str">
        <f>HYPERLINK("#A1", "▲ Back to top")</f>
        <v>▲ Back to top</v>
      </c>
      <c r="D188" s="120" t="s">
        <v>314</v>
      </c>
      <c r="E188" s="120" t="s">
        <v>318</v>
      </c>
      <c r="F188" s="120" t="s">
        <v>297</v>
      </c>
      <c r="G188" s="120" t="s">
        <v>298</v>
      </c>
      <c r="H188" s="120" t="s">
        <v>299</v>
      </c>
      <c r="I188" s="120" t="s">
        <v>300</v>
      </c>
      <c r="N188" s="120" t="s">
        <v>314</v>
      </c>
      <c r="O188" s="120" t="s">
        <v>318</v>
      </c>
      <c r="P188" s="120" t="s">
        <v>297</v>
      </c>
      <c r="Q188" s="120" t="s">
        <v>298</v>
      </c>
      <c r="R188" s="120" t="s">
        <v>299</v>
      </c>
      <c r="S188" s="120" t="s">
        <v>300</v>
      </c>
    </row>
    <row r="189" spans="1:20" ht="20.100000000000001" customHeight="1" x14ac:dyDescent="0.2">
      <c r="D189" s="15" t="str">
        <f>INDEX(X_Table_Poultry_Stage1MMS,2,1)</f>
        <v>Poultry manure with bedding</v>
      </c>
      <c r="E189" s="15" t="str">
        <f>INDEX(X_Table_Poultry_Stage2MMS_PoultryManureWithBedding,2,1)</f>
        <v>Solid storage</v>
      </c>
      <c r="F189" s="15" cm="1">
        <f t="array" ref="F189">MMS_Poultry_N2ODirect_Equations.VEERG_4_6_1_3__6_Stage2NitrogenInMMS(E$150,F170)</f>
        <v>0.71271158400000012</v>
      </c>
      <c r="G189" s="15" cm="1">
        <f t="array" ref="G189">MMS_Poultry_N2ODirect_Equations.VEERG_4_6_1_3__6_Stage2NitrogenInMMS(F$150,G170)</f>
        <v>0.76073791680000002</v>
      </c>
      <c r="H189" s="15" cm="1">
        <f t="array" ref="H189">MMS_Poultry_N2ODirect_Equations.VEERG_4_6_1_3__6_Stage2NitrogenInMMS(G$150,H170)</f>
        <v>0.89299319039999991</v>
      </c>
      <c r="I189" s="15" cm="1">
        <f t="array" ref="I189">MMS_Poultry_N2ODirect_Equations.VEERG_4_6_1_3__6_Stage2NitrogenInMMS(H$150,I170)</f>
        <v>0.76073791680000002</v>
      </c>
      <c r="J189" s="16" t="str">
        <f t="shared" ref="J189" si="1">$E$162</f>
        <v>kg N</v>
      </c>
      <c r="N189" s="15" t="str">
        <f>INDEX(X_Table_Poultry_Stage1MMS,2,1)</f>
        <v>Poultry manure with bedding</v>
      </c>
      <c r="O189" s="15" t="str">
        <f>INDEX(X_Table_Poultry_Stage2MMS_PoultryManureWithBedding,2,1)</f>
        <v>Solid storage</v>
      </c>
      <c r="P189" s="15" cm="1">
        <f t="array" ref="P189">MMS_Poultry_N2ODirect_Equations.VEERG_4_6_1_3__6_Stage2NitrogenInMMS(O$150,F170)</f>
        <v>0.71271158400000012</v>
      </c>
      <c r="Q189" s="15" cm="1">
        <f t="array" ref="Q189">MMS_Poultry_N2ODirect_Equations.VEERG_4_6_1_3__6_Stage2NitrogenInMMS(P$150,G170)</f>
        <v>0.76073791680000002</v>
      </c>
      <c r="R189" s="15" cm="1">
        <f t="array" ref="R189">MMS_Poultry_N2ODirect_Equations.VEERG_4_6_1_3__6_Stage2NitrogenInMMS(Q$150,H170)</f>
        <v>0.89299319039999991</v>
      </c>
      <c r="S189" s="15" cm="1">
        <f t="array" ref="S189">MMS_Poultry_N2ODirect_Equations.VEERG_4_6_1_3__6_Stage2NitrogenInMMS(R$150,I170)</f>
        <v>0.76073791680000002</v>
      </c>
      <c r="T189" s="16" t="str">
        <f t="shared" ref="T189" si="2">$E$162</f>
        <v>kg N</v>
      </c>
    </row>
    <row r="190" spans="1:20" ht="20.100000000000001" customHeight="1" x14ac:dyDescent="0.2">
      <c r="D190" s="15"/>
      <c r="E190" s="15" t="str">
        <f>INDEX(X_Table_Poultry_Stage2MMS_PoultryManureWithBedding,3,1)</f>
        <v>Composting (passive windrow)</v>
      </c>
      <c r="F190" s="15" cm="1">
        <f t="array" ref="F190">MMS_Poultry_N2ODirect_Equations.VEERG_4_6_1_3__6_Stage2NitrogenInMMS(E$150,F171)</f>
        <v>0.71271158400000012</v>
      </c>
      <c r="G190" s="15" cm="1">
        <f t="array" ref="G190">MMS_Poultry_N2ODirect_Equations.VEERG_4_6_1_3__6_Stage2NitrogenInMMS(F$150,G171)</f>
        <v>0.76073791680000002</v>
      </c>
      <c r="H190" s="15" cm="1">
        <f t="array" ref="H190">MMS_Poultry_N2ODirect_Equations.VEERG_4_6_1_3__6_Stage2NitrogenInMMS(G$150,H171)</f>
        <v>0.89299319039999991</v>
      </c>
      <c r="I190" s="15" cm="1">
        <f t="array" ref="I190">MMS_Poultry_N2ODirect_Equations.VEERG_4_6_1_3__6_Stage2NitrogenInMMS(H$150,I171)</f>
        <v>0.76073791680000002</v>
      </c>
      <c r="J190" s="16"/>
      <c r="N190" s="15"/>
      <c r="O190" s="15" t="str">
        <f>INDEX(X_Table_Poultry_Stage2MMS_PoultryManureWithBedding,3,1)</f>
        <v>Composting (passive windrow)</v>
      </c>
      <c r="P190" s="15" cm="1">
        <f t="array" ref="P190">MMS_Poultry_N2ODirect_Equations.VEERG_4_6_1_3__6_Stage2NitrogenInMMS(O$150,F171)</f>
        <v>0.71271158400000012</v>
      </c>
      <c r="Q190" s="15" cm="1">
        <f t="array" ref="Q190">MMS_Poultry_N2ODirect_Equations.VEERG_4_6_1_3__6_Stage2NitrogenInMMS(P$150,G171)</f>
        <v>0.76073791680000002</v>
      </c>
      <c r="R190" s="15" cm="1">
        <f t="array" ref="R190">MMS_Poultry_N2ODirect_Equations.VEERG_4_6_1_3__6_Stage2NitrogenInMMS(Q$150,H171)</f>
        <v>0.89299319039999991</v>
      </c>
      <c r="S190" s="15" cm="1">
        <f t="array" ref="S190">MMS_Poultry_N2ODirect_Equations.VEERG_4_6_1_3__6_Stage2NitrogenInMMS(R$150,I171)</f>
        <v>0.76073791680000002</v>
      </c>
      <c r="T190" s="16"/>
    </row>
    <row r="191" spans="1:20" ht="20.100000000000001" customHeight="1" x14ac:dyDescent="0.2">
      <c r="D191" s="15"/>
      <c r="E191" s="15" t="str">
        <f>INDEX(X_Table_Poultry_Stage2MMS_PoultryManureWithBedding,4,1)</f>
        <v>Digester / covered lagoons</v>
      </c>
      <c r="F191" s="15" cm="1">
        <f t="array" ref="F191">MMS_Poultry_N2ODirect_Equations.VEERG_4_6_1_3__6_Stage2NitrogenInMMS(E$150,F172)</f>
        <v>0.71271158400000012</v>
      </c>
      <c r="G191" s="15" cm="1">
        <f t="array" ref="G191">MMS_Poultry_N2ODirect_Equations.VEERG_4_6_1_3__6_Stage2NitrogenInMMS(F$150,G172)</f>
        <v>0.76073791680000002</v>
      </c>
      <c r="H191" s="15" cm="1">
        <f t="array" ref="H191">MMS_Poultry_N2ODirect_Equations.VEERG_4_6_1_3__6_Stage2NitrogenInMMS(G$150,H172)</f>
        <v>0.89299319039999991</v>
      </c>
      <c r="I191" s="15" cm="1">
        <f t="array" ref="I191">MMS_Poultry_N2ODirect_Equations.VEERG_4_6_1_3__6_Stage2NitrogenInMMS(H$150,I172)</f>
        <v>0.76073791680000002</v>
      </c>
      <c r="J191" s="16"/>
      <c r="N191" s="15"/>
      <c r="O191" s="15" t="str">
        <f>INDEX(X_Table_Poultry_Stage2MMS_PoultryManureWithBedding,4,1)</f>
        <v>Digester / covered lagoons</v>
      </c>
      <c r="P191" s="15" cm="1">
        <f t="array" ref="P191">MMS_Poultry_N2ODirect_Equations.VEERG_4_6_1_3__6_Stage2NitrogenInMMS(O$150,F172)</f>
        <v>0.71271158400000012</v>
      </c>
      <c r="Q191" s="15" cm="1">
        <f t="array" ref="Q191">MMS_Poultry_N2ODirect_Equations.VEERG_4_6_1_3__6_Stage2NitrogenInMMS(P$150,G172)</f>
        <v>0.76073791680000002</v>
      </c>
      <c r="R191" s="15" cm="1">
        <f t="array" ref="R191">MMS_Poultry_N2ODirect_Equations.VEERG_4_6_1_3__6_Stage2NitrogenInMMS(Q$150,H172)</f>
        <v>0.89299319039999991</v>
      </c>
      <c r="S191" s="15" cm="1">
        <f t="array" ref="S191">MMS_Poultry_N2ODirect_Equations.VEERG_4_6_1_3__6_Stage2NitrogenInMMS(R$150,I172)</f>
        <v>0.76073791680000002</v>
      </c>
      <c r="T191" s="16"/>
    </row>
    <row r="192" spans="1:20" ht="20.100000000000001" customHeight="1" x14ac:dyDescent="0.2">
      <c r="D192" s="15"/>
      <c r="E192" s="15" t="str">
        <f>INDEX(X_Table_Poultry_Stage2MMS_PoultryManureWithBedding,5,1)</f>
        <v>Direct processing</v>
      </c>
      <c r="F192" s="15" cm="1">
        <f t="array" ref="F192">MMS_Poultry_N2ODirect_Equations.VEERG_4_6_1_3__6_Stage2NitrogenInMMS(E$150,F173)</f>
        <v>0.71271158400000012</v>
      </c>
      <c r="G192" s="15" cm="1">
        <f t="array" ref="G192">MMS_Poultry_N2ODirect_Equations.VEERG_4_6_1_3__6_Stage2NitrogenInMMS(F$150,G173)</f>
        <v>0.76073791680000002</v>
      </c>
      <c r="H192" s="15" cm="1">
        <f t="array" ref="H192">MMS_Poultry_N2ODirect_Equations.VEERG_4_6_1_3__6_Stage2NitrogenInMMS(G$150,H173)</f>
        <v>0.89299319039999991</v>
      </c>
      <c r="I192" s="15" cm="1">
        <f t="array" ref="I192">MMS_Poultry_N2ODirect_Equations.VEERG_4_6_1_3__6_Stage2NitrogenInMMS(H$150,I173)</f>
        <v>0.76073791680000002</v>
      </c>
      <c r="J192" s="16"/>
      <c r="N192" s="15"/>
      <c r="O192" s="15" t="str">
        <f>INDEX(X_Table_Poultry_Stage2MMS_PoultryManureWithBedding,5,1)</f>
        <v>Direct processing</v>
      </c>
      <c r="P192" s="15" cm="1">
        <f t="array" ref="P192">MMS_Poultry_N2ODirect_Equations.VEERG_4_6_1_3__6_Stage2NitrogenInMMS(O$150,F173)</f>
        <v>0.71271158400000012</v>
      </c>
      <c r="Q192" s="15" cm="1">
        <f t="array" ref="Q192">MMS_Poultry_N2ODirect_Equations.VEERG_4_6_1_3__6_Stage2NitrogenInMMS(P$150,G173)</f>
        <v>0.76073791680000002</v>
      </c>
      <c r="R192" s="15" cm="1">
        <f t="array" ref="R192">MMS_Poultry_N2ODirect_Equations.VEERG_4_6_1_3__6_Stage2NitrogenInMMS(Q$150,H173)</f>
        <v>0.89299319039999991</v>
      </c>
      <c r="S192" s="15" cm="1">
        <f t="array" ref="S192">MMS_Poultry_N2ODirect_Equations.VEERG_4_6_1_3__6_Stage2NitrogenInMMS(R$150,I173)</f>
        <v>0.76073791680000002</v>
      </c>
      <c r="T192" s="16"/>
    </row>
    <row r="193" spans="3:21" ht="20.100000000000001" customHeight="1" x14ac:dyDescent="0.2">
      <c r="D193" s="15"/>
      <c r="E193" s="15" t="str">
        <f>INDEX(X_Table_Poultry_Stage2MMS_PoultryManureWithBedding,6,1)</f>
        <v>Direct application</v>
      </c>
      <c r="F193" s="15" cm="1">
        <f t="array" ref="F193">MMS_Poultry_N2ODirect_Equations.VEERG_4_6_1_3__6_Stage2NitrogenInMMS(E$150,F174)</f>
        <v>0.7127115839999999</v>
      </c>
      <c r="G193" s="15" cm="1">
        <f t="array" ref="G193">MMS_Poultry_N2ODirect_Equations.VEERG_4_6_1_3__6_Stage2NitrogenInMMS(F$150,G174)</f>
        <v>0.7607379167999998</v>
      </c>
      <c r="H193" s="15" cm="1">
        <f t="array" ref="H193">MMS_Poultry_N2ODirect_Equations.VEERG_4_6_1_3__6_Stage2NitrogenInMMS(G$150,H174)</f>
        <v>0.89299319039999958</v>
      </c>
      <c r="I193" s="15" cm="1">
        <f t="array" ref="I193">MMS_Poultry_N2ODirect_Equations.VEERG_4_6_1_3__6_Stage2NitrogenInMMS(H$150,I174)</f>
        <v>0.7607379167999998</v>
      </c>
      <c r="N193" s="15"/>
      <c r="O193" s="15" t="str">
        <f>INDEX(X_Table_Poultry_Stage2MMS_PoultryManureWithBedding,6,1)</f>
        <v>Direct application</v>
      </c>
      <c r="P193" s="15" cm="1">
        <f t="array" ref="P193">MMS_Poultry_N2ODirect_Equations.VEERG_4_6_1_3__6_Stage2NitrogenInMMS(O$150,F174)</f>
        <v>0.7127115839999999</v>
      </c>
      <c r="Q193" s="15" cm="1">
        <f t="array" ref="Q193">MMS_Poultry_N2ODirect_Equations.VEERG_4_6_1_3__6_Stage2NitrogenInMMS(P$150,G174)</f>
        <v>0.7607379167999998</v>
      </c>
      <c r="R193" s="15" cm="1">
        <f t="array" ref="R193">MMS_Poultry_N2ODirect_Equations.VEERG_4_6_1_3__6_Stage2NitrogenInMMS(Q$150,H174)</f>
        <v>0.89299319039999958</v>
      </c>
      <c r="S193" s="15" cm="1">
        <f t="array" ref="S193">MMS_Poultry_N2ODirect_Equations.VEERG_4_6_1_3__6_Stage2NitrogenInMMS(R$150,I174)</f>
        <v>0.7607379167999998</v>
      </c>
    </row>
    <row r="194" spans="3:21" ht="20.100000000000001" customHeight="1" x14ac:dyDescent="0.2">
      <c r="D194" s="15" t="str">
        <f>INDEX(X_Table_Poultry_Stage1MMS,3,1)</f>
        <v>Belt manure removal</v>
      </c>
      <c r="E194" s="15" t="str">
        <f>INDEX(X_Table_Poultry_Stage2MMS_BeltManureRemoval,2,1)</f>
        <v>Solid storage</v>
      </c>
      <c r="F194" s="15" cm="1">
        <f t="array" ref="F194">MMS_Poultry_N2ODirect_Equations.VEERG_4_6_1_3__6_Stage2NitrogenInMMS(E$151,F175)</f>
        <v>0.96761558400000025</v>
      </c>
      <c r="G194" s="15" cm="1">
        <f t="array" ref="G194">MMS_Poultry_N2ODirect_Equations.VEERG_4_6_1_3__6_Stage2NitrogenInMMS(F$151,G175)</f>
        <v>1.0328187168</v>
      </c>
      <c r="H194" s="15" cm="1">
        <f t="array" ref="H194">MMS_Poultry_N2ODirect_Equations.VEERG_4_6_1_3__6_Stage2NitrogenInMMS(G$151,H175)</f>
        <v>1.2123755904</v>
      </c>
      <c r="I194" s="15" cm="1">
        <f t="array" ref="I194">MMS_Poultry_N2ODirect_Equations.VEERG_4_6_1_3__6_Stage2NitrogenInMMS(H$151,I175)</f>
        <v>1.0328187168</v>
      </c>
      <c r="J194" s="16"/>
      <c r="N194" s="15" t="str">
        <f>INDEX(X_Table_Poultry_Stage1MMS,3,1)</f>
        <v>Belt manure removal</v>
      </c>
      <c r="O194" s="15" t="str">
        <f>INDEX(X_Table_Poultry_Stage2MMS_BeltManureRemoval,2,1)</f>
        <v>Solid storage</v>
      </c>
      <c r="P194" s="15" cm="1">
        <f t="array" ref="P194">MMS_Poultry_N2ODirect_Equations.VEERG_4_6_1_3__6_Stage2NitrogenInMMS(O$151,F175)</f>
        <v>0.96761558400000025</v>
      </c>
      <c r="Q194" s="15" cm="1">
        <f t="array" ref="Q194">MMS_Poultry_N2ODirect_Equations.VEERG_4_6_1_3__6_Stage2NitrogenInMMS(P$151,G175)</f>
        <v>1.0328187168</v>
      </c>
      <c r="R194" s="15" cm="1">
        <f t="array" ref="R194">MMS_Poultry_N2ODirect_Equations.VEERG_4_6_1_3__6_Stage2NitrogenInMMS(Q$151,H175)</f>
        <v>1.2123755904</v>
      </c>
      <c r="S194" s="15" cm="1">
        <f t="array" ref="S194">MMS_Poultry_N2ODirect_Equations.VEERG_4_6_1_3__6_Stage2NitrogenInMMS(R$151,I175)</f>
        <v>1.0328187168</v>
      </c>
      <c r="T194" s="16"/>
    </row>
    <row r="195" spans="3:21" ht="20.100000000000001" customHeight="1" x14ac:dyDescent="0.2">
      <c r="D195" s="15"/>
      <c r="E195" s="15" t="str">
        <f>INDEX(X_Table_Poultry_Stage2MMS_BeltManureRemoval,3,1)</f>
        <v>Composting (passive windrow)</v>
      </c>
      <c r="F195" s="15" cm="1">
        <f t="array" ref="F195">MMS_Poultry_N2ODirect_Equations.VEERG_4_6_1_3__6_Stage2NitrogenInMMS(E$151,F176)</f>
        <v>0.96761558400000025</v>
      </c>
      <c r="G195" s="15" cm="1">
        <f t="array" ref="G195">MMS_Poultry_N2ODirect_Equations.VEERG_4_6_1_3__6_Stage2NitrogenInMMS(F$151,G176)</f>
        <v>1.0328187168</v>
      </c>
      <c r="H195" s="15" cm="1">
        <f t="array" ref="H195">MMS_Poultry_N2ODirect_Equations.VEERG_4_6_1_3__6_Stage2NitrogenInMMS(G$151,H176)</f>
        <v>1.2123755904</v>
      </c>
      <c r="I195" s="15" cm="1">
        <f t="array" ref="I195">MMS_Poultry_N2ODirect_Equations.VEERG_4_6_1_3__6_Stage2NitrogenInMMS(H$151,I176)</f>
        <v>1.0328187168</v>
      </c>
      <c r="J195" s="16"/>
      <c r="N195" s="15"/>
      <c r="O195" s="15" t="str">
        <f>INDEX(X_Table_Poultry_Stage2MMS_BeltManureRemoval,3,1)</f>
        <v>Composting (passive windrow)</v>
      </c>
      <c r="P195" s="15" cm="1">
        <f t="array" ref="P195">MMS_Poultry_N2ODirect_Equations.VEERG_4_6_1_3__6_Stage2NitrogenInMMS(O$151,F176)</f>
        <v>0.96761558400000025</v>
      </c>
      <c r="Q195" s="15" cm="1">
        <f t="array" ref="Q195">MMS_Poultry_N2ODirect_Equations.VEERG_4_6_1_3__6_Stage2NitrogenInMMS(P$151,G176)</f>
        <v>1.0328187168</v>
      </c>
      <c r="R195" s="15" cm="1">
        <f t="array" ref="R195">MMS_Poultry_N2ODirect_Equations.VEERG_4_6_1_3__6_Stage2NitrogenInMMS(Q$151,H176)</f>
        <v>1.2123755904</v>
      </c>
      <c r="S195" s="15" cm="1">
        <f t="array" ref="S195">MMS_Poultry_N2ODirect_Equations.VEERG_4_6_1_3__6_Stage2NitrogenInMMS(R$151,I176)</f>
        <v>1.0328187168</v>
      </c>
      <c r="T195" s="16"/>
    </row>
    <row r="196" spans="3:21" ht="20.100000000000001" customHeight="1" x14ac:dyDescent="0.2">
      <c r="D196" s="15"/>
      <c r="E196" s="15" t="str">
        <f>INDEX(X_Table_Poultry_Stage2MMS_BeltManureRemoval,4,1)</f>
        <v>Digester / covered lagoons</v>
      </c>
      <c r="F196" s="15" cm="1">
        <f t="array" ref="F196">MMS_Poultry_N2ODirect_Equations.VEERG_4_6_1_3__6_Stage2NitrogenInMMS(E$151,F177)</f>
        <v>0.96761558400000025</v>
      </c>
      <c r="G196" s="15" cm="1">
        <f t="array" ref="G196">MMS_Poultry_N2ODirect_Equations.VEERG_4_6_1_3__6_Stage2NitrogenInMMS(F$151,G177)</f>
        <v>1.0328187168</v>
      </c>
      <c r="H196" s="15" cm="1">
        <f t="array" ref="H196">MMS_Poultry_N2ODirect_Equations.VEERG_4_6_1_3__6_Stage2NitrogenInMMS(G$151,H177)</f>
        <v>1.2123755904</v>
      </c>
      <c r="I196" s="15" cm="1">
        <f t="array" ref="I196">MMS_Poultry_N2ODirect_Equations.VEERG_4_6_1_3__6_Stage2NitrogenInMMS(H$151,I177)</f>
        <v>1.0328187168</v>
      </c>
      <c r="J196" s="16"/>
      <c r="N196" s="15"/>
      <c r="O196" s="15" t="str">
        <f>INDEX(X_Table_Poultry_Stage2MMS_BeltManureRemoval,4,1)</f>
        <v>Digester / covered lagoons</v>
      </c>
      <c r="P196" s="15" cm="1">
        <f t="array" ref="P196">MMS_Poultry_N2ODirect_Equations.VEERG_4_6_1_3__6_Stage2NitrogenInMMS(O$151,F177)</f>
        <v>0.96761558400000025</v>
      </c>
      <c r="Q196" s="15" cm="1">
        <f t="array" ref="Q196">MMS_Poultry_N2ODirect_Equations.VEERG_4_6_1_3__6_Stage2NitrogenInMMS(P$151,G177)</f>
        <v>1.0328187168</v>
      </c>
      <c r="R196" s="15" cm="1">
        <f t="array" ref="R196">MMS_Poultry_N2ODirect_Equations.VEERG_4_6_1_3__6_Stage2NitrogenInMMS(Q$151,H177)</f>
        <v>1.2123755904</v>
      </c>
      <c r="S196" s="15" cm="1">
        <f t="array" ref="S196">MMS_Poultry_N2ODirect_Equations.VEERG_4_6_1_3__6_Stage2NitrogenInMMS(R$151,I177)</f>
        <v>1.0328187168</v>
      </c>
      <c r="T196" s="16"/>
    </row>
    <row r="197" spans="3:21" ht="20.100000000000001" customHeight="1" x14ac:dyDescent="0.2">
      <c r="D197" s="15"/>
      <c r="E197" s="15" t="str">
        <f>INDEX(X_Table_Poultry_Stage2MMS_BeltManureRemoval,5,1)</f>
        <v>Direct processing</v>
      </c>
      <c r="F197" s="15" cm="1">
        <f t="array" ref="F197">MMS_Poultry_N2ODirect_Equations.VEERG_4_6_1_3__6_Stage2NitrogenInMMS(E$151,F178)</f>
        <v>0.96761558400000025</v>
      </c>
      <c r="G197" s="15" cm="1">
        <f t="array" ref="G197">MMS_Poultry_N2ODirect_Equations.VEERG_4_6_1_3__6_Stage2NitrogenInMMS(F$151,G178)</f>
        <v>1.0328187168</v>
      </c>
      <c r="H197" s="15" cm="1">
        <f t="array" ref="H197">MMS_Poultry_N2ODirect_Equations.VEERG_4_6_1_3__6_Stage2NitrogenInMMS(G$151,H178)</f>
        <v>1.2123755904</v>
      </c>
      <c r="I197" s="15" cm="1">
        <f t="array" ref="I197">MMS_Poultry_N2ODirect_Equations.VEERG_4_6_1_3__6_Stage2NitrogenInMMS(H$151,I178)</f>
        <v>1.0328187168</v>
      </c>
      <c r="J197" s="16"/>
      <c r="N197" s="15"/>
      <c r="O197" s="15" t="str">
        <f>INDEX(X_Table_Poultry_Stage2MMS_BeltManureRemoval,5,1)</f>
        <v>Direct processing</v>
      </c>
      <c r="P197" s="15" cm="1">
        <f t="array" ref="P197">MMS_Poultry_N2ODirect_Equations.VEERG_4_6_1_3__6_Stage2NitrogenInMMS(O$151,F178)</f>
        <v>0.96761558400000025</v>
      </c>
      <c r="Q197" s="15" cm="1">
        <f t="array" ref="Q197">MMS_Poultry_N2ODirect_Equations.VEERG_4_6_1_3__6_Stage2NitrogenInMMS(P$151,G178)</f>
        <v>1.0328187168</v>
      </c>
      <c r="R197" s="15" cm="1">
        <f t="array" ref="R197">MMS_Poultry_N2ODirect_Equations.VEERG_4_6_1_3__6_Stage2NitrogenInMMS(Q$151,H178)</f>
        <v>1.2123755904</v>
      </c>
      <c r="S197" s="15" cm="1">
        <f t="array" ref="S197">MMS_Poultry_N2ODirect_Equations.VEERG_4_6_1_3__6_Stage2NitrogenInMMS(R$151,I178)</f>
        <v>1.0328187168</v>
      </c>
      <c r="T197" s="16"/>
    </row>
    <row r="198" spans="3:21" ht="20.100000000000001" customHeight="1" x14ac:dyDescent="0.2">
      <c r="D198" s="15"/>
      <c r="E198" s="15" t="str">
        <f>INDEX(X_Table_Poultry_Stage2MMS_BeltManureRemoval,6,1)</f>
        <v>Direct application</v>
      </c>
      <c r="F198" s="15" cm="1">
        <f t="array" ref="F198">MMS_Poultry_N2ODirect_Equations.VEERG_4_6_1_3__6_Stage2NitrogenInMMS(E$151,F179)</f>
        <v>0.96761558399999992</v>
      </c>
      <c r="G198" s="15" cm="1">
        <f t="array" ref="G198">MMS_Poultry_N2ODirect_Equations.VEERG_4_6_1_3__6_Stage2NitrogenInMMS(F$151,G179)</f>
        <v>1.0328187167999998</v>
      </c>
      <c r="H198" s="15" cm="1">
        <f t="array" ref="H198">MMS_Poultry_N2ODirect_Equations.VEERG_4_6_1_3__6_Stage2NitrogenInMMS(G$151,H179)</f>
        <v>1.2123755903999998</v>
      </c>
      <c r="I198" s="15" cm="1">
        <f t="array" ref="I198">MMS_Poultry_N2ODirect_Equations.VEERG_4_6_1_3__6_Stage2NitrogenInMMS(H$151,I179)</f>
        <v>1.0328187167999998</v>
      </c>
      <c r="N198" s="15"/>
      <c r="O198" s="15" t="str">
        <f>INDEX(X_Table_Poultry_Stage2MMS_BeltManureRemoval,6,1)</f>
        <v>Direct application</v>
      </c>
      <c r="P198" s="15" cm="1">
        <f t="array" ref="P198">MMS_Poultry_N2ODirect_Equations.VEERG_4_6_1_3__6_Stage2NitrogenInMMS(O$151,F179)</f>
        <v>0.96761558399999992</v>
      </c>
      <c r="Q198" s="15" cm="1">
        <f t="array" ref="Q198">MMS_Poultry_N2ODirect_Equations.VEERG_4_6_1_3__6_Stage2NitrogenInMMS(P$151,G179)</f>
        <v>1.0328187167999998</v>
      </c>
      <c r="R198" s="15" cm="1">
        <f t="array" ref="R198">MMS_Poultry_N2ODirect_Equations.VEERG_4_6_1_3__6_Stage2NitrogenInMMS(Q$151,H179)</f>
        <v>1.2123755903999998</v>
      </c>
      <c r="S198" s="15" cm="1">
        <f t="array" ref="S198">MMS_Poultry_N2ODirect_Equations.VEERG_4_6_1_3__6_Stage2NitrogenInMMS(R$151,I179)</f>
        <v>1.0328187167999998</v>
      </c>
    </row>
    <row r="199" spans="3:21" ht="20.100000000000001" customHeight="1" x14ac:dyDescent="0.2">
      <c r="D199" s="15" t="str">
        <f>INDEX(X_Table_Poultry_Stage1MMS,4,1)</f>
        <v>Manure stored in house</v>
      </c>
      <c r="E199" s="15" t="str">
        <f>INDEX(X_Table_Poultry_Stage2MMS_ManureStoredInHouse,2,1)</f>
        <v>Solid storage</v>
      </c>
      <c r="F199" s="15" cm="1">
        <f t="array" ref="F199">MMS_Poultry_N2ODirect_Equations.VEERG_4_6_1_3__6_Stage2NitrogenInMMS(E$152,F180)</f>
        <v>0.61074998400000013</v>
      </c>
      <c r="G199" s="15" cm="1">
        <f t="array" ref="G199">MMS_Poultry_N2ODirect_Equations.VEERG_4_6_1_3__6_Stage2NitrogenInMMS(F$152,G180)</f>
        <v>0.65190559679999993</v>
      </c>
      <c r="H199" s="15" cm="1">
        <f t="array" ref="H199">MMS_Poultry_N2ODirect_Equations.VEERG_4_6_1_3__6_Stage2NitrogenInMMS(G$152,H180)</f>
        <v>0.76524023039999989</v>
      </c>
      <c r="I199" s="15" cm="1">
        <f t="array" ref="I199">MMS_Poultry_N2ODirect_Equations.VEERG_4_6_1_3__6_Stage2NitrogenInMMS(H$152,I180)</f>
        <v>0.65190559679999993</v>
      </c>
      <c r="J199" s="16"/>
      <c r="N199" s="15" t="str">
        <f>INDEX(X_Table_Poultry_Stage1MMS,4,1)</f>
        <v>Manure stored in house</v>
      </c>
      <c r="O199" s="15" t="str">
        <f>INDEX(X_Table_Poultry_Stage2MMS_ManureStoredInHouse,2,1)</f>
        <v>Solid storage</v>
      </c>
      <c r="P199" s="15" cm="1">
        <f t="array" ref="P199">MMS_Poultry_N2ODirect_Equations.VEERG_4_6_1_3__6_Stage2NitrogenInMMS(O$152,F180)</f>
        <v>0.61074998400000013</v>
      </c>
      <c r="Q199" s="15" cm="1">
        <f t="array" ref="Q199">MMS_Poultry_N2ODirect_Equations.VEERG_4_6_1_3__6_Stage2NitrogenInMMS(P$152,G180)</f>
        <v>0.65190559679999993</v>
      </c>
      <c r="R199" s="15" cm="1">
        <f t="array" ref="R199">MMS_Poultry_N2ODirect_Equations.VEERG_4_6_1_3__6_Stage2NitrogenInMMS(Q$152,H180)</f>
        <v>0.76524023039999989</v>
      </c>
      <c r="S199" s="15" cm="1">
        <f t="array" ref="S199">MMS_Poultry_N2ODirect_Equations.VEERG_4_6_1_3__6_Stage2NitrogenInMMS(R$152,I180)</f>
        <v>0.65190559679999993</v>
      </c>
      <c r="T199" s="16"/>
    </row>
    <row r="200" spans="3:21" ht="20.100000000000001" customHeight="1" x14ac:dyDescent="0.2">
      <c r="D200" s="15"/>
      <c r="E200" s="15" t="str">
        <f>INDEX(X_Table_Poultry_Stage2MMS_ManureStoredInHouse,3,1)</f>
        <v>Composting (passive windrow)</v>
      </c>
      <c r="F200" s="15" cm="1">
        <f t="array" ref="F200">MMS_Poultry_N2ODirect_Equations.VEERG_4_6_1_3__6_Stage2NitrogenInMMS(E$152,F181)</f>
        <v>0.61074998400000013</v>
      </c>
      <c r="G200" s="15" cm="1">
        <f t="array" ref="G200">MMS_Poultry_N2ODirect_Equations.VEERG_4_6_1_3__6_Stage2NitrogenInMMS(F$152,G181)</f>
        <v>0.65190559679999993</v>
      </c>
      <c r="H200" s="15" cm="1">
        <f t="array" ref="H200">MMS_Poultry_N2ODirect_Equations.VEERG_4_6_1_3__6_Stage2NitrogenInMMS(G$152,H181)</f>
        <v>0.76524023039999989</v>
      </c>
      <c r="I200" s="15" cm="1">
        <f t="array" ref="I200">MMS_Poultry_N2ODirect_Equations.VEERG_4_6_1_3__6_Stage2NitrogenInMMS(H$152,I181)</f>
        <v>0.65190559679999993</v>
      </c>
      <c r="J200" s="16"/>
      <c r="N200" s="15"/>
      <c r="O200" s="15" t="str">
        <f>INDEX(X_Table_Poultry_Stage2MMS_ManureStoredInHouse,3,1)</f>
        <v>Composting (passive windrow)</v>
      </c>
      <c r="P200" s="15" cm="1">
        <f t="array" ref="P200">MMS_Poultry_N2ODirect_Equations.VEERG_4_6_1_3__6_Stage2NitrogenInMMS(O$152,F181)</f>
        <v>0.61074998400000013</v>
      </c>
      <c r="Q200" s="15" cm="1">
        <f t="array" ref="Q200">MMS_Poultry_N2ODirect_Equations.VEERG_4_6_1_3__6_Stage2NitrogenInMMS(P$152,G181)</f>
        <v>0.65190559679999993</v>
      </c>
      <c r="R200" s="15" cm="1">
        <f t="array" ref="R200">MMS_Poultry_N2ODirect_Equations.VEERG_4_6_1_3__6_Stage2NitrogenInMMS(Q$152,H181)</f>
        <v>0.76524023039999989</v>
      </c>
      <c r="S200" s="15" cm="1">
        <f t="array" ref="S200">MMS_Poultry_N2ODirect_Equations.VEERG_4_6_1_3__6_Stage2NitrogenInMMS(R$152,I181)</f>
        <v>0.65190559679999993</v>
      </c>
      <c r="T200" s="16"/>
    </row>
    <row r="201" spans="3:21" ht="20.100000000000001" customHeight="1" x14ac:dyDescent="0.2">
      <c r="D201" s="15"/>
      <c r="E201" s="15" t="str">
        <f>INDEX(X_Table_Poultry_Stage2MMS_ManureStoredInHouse,4,1)</f>
        <v>Digester / covered lagoons</v>
      </c>
      <c r="F201" s="15" cm="1">
        <f t="array" ref="F201">MMS_Poultry_N2ODirect_Equations.VEERG_4_6_1_3__6_Stage2NitrogenInMMS(E$152,F182)</f>
        <v>0.61074998400000013</v>
      </c>
      <c r="G201" s="15" cm="1">
        <f t="array" ref="G201">MMS_Poultry_N2ODirect_Equations.VEERG_4_6_1_3__6_Stage2NitrogenInMMS(F$152,G182)</f>
        <v>0.65190559679999993</v>
      </c>
      <c r="H201" s="15" cm="1">
        <f t="array" ref="H201">MMS_Poultry_N2ODirect_Equations.VEERG_4_6_1_3__6_Stage2NitrogenInMMS(G$152,H182)</f>
        <v>0.76524023039999989</v>
      </c>
      <c r="I201" s="15" cm="1">
        <f t="array" ref="I201">MMS_Poultry_N2ODirect_Equations.VEERG_4_6_1_3__6_Stage2NitrogenInMMS(H$152,I182)</f>
        <v>0.65190559679999993</v>
      </c>
      <c r="J201" s="16"/>
      <c r="N201" s="15"/>
      <c r="O201" s="15" t="str">
        <f>INDEX(X_Table_Poultry_Stage2MMS_ManureStoredInHouse,4,1)</f>
        <v>Digester / covered lagoons</v>
      </c>
      <c r="P201" s="15" cm="1">
        <f t="array" ref="P201">MMS_Poultry_N2ODirect_Equations.VEERG_4_6_1_3__6_Stage2NitrogenInMMS(O$152,F182)</f>
        <v>0.61074998400000013</v>
      </c>
      <c r="Q201" s="15" cm="1">
        <f t="array" ref="Q201">MMS_Poultry_N2ODirect_Equations.VEERG_4_6_1_3__6_Stage2NitrogenInMMS(P$152,G182)</f>
        <v>0.65190559679999993</v>
      </c>
      <c r="R201" s="15" cm="1">
        <f t="array" ref="R201">MMS_Poultry_N2ODirect_Equations.VEERG_4_6_1_3__6_Stage2NitrogenInMMS(Q$152,H182)</f>
        <v>0.76524023039999989</v>
      </c>
      <c r="S201" s="15" cm="1">
        <f t="array" ref="S201">MMS_Poultry_N2ODirect_Equations.VEERG_4_6_1_3__6_Stage2NitrogenInMMS(R$152,I182)</f>
        <v>0.65190559679999993</v>
      </c>
      <c r="T201" s="16"/>
    </row>
    <row r="202" spans="3:21" ht="20.100000000000001" customHeight="1" x14ac:dyDescent="0.2">
      <c r="D202" s="15"/>
      <c r="E202" s="15" t="str">
        <f>INDEX(X_Table_Poultry_Stage2MMS_ManureStoredInHouse,5,1)</f>
        <v>Direct processing</v>
      </c>
      <c r="F202" s="15" cm="1">
        <f t="array" ref="F202">MMS_Poultry_N2ODirect_Equations.VEERG_4_6_1_3__6_Stage2NitrogenInMMS(E$152,F183)</f>
        <v>0.61074998400000013</v>
      </c>
      <c r="G202" s="15" cm="1">
        <f t="array" ref="G202">MMS_Poultry_N2ODirect_Equations.VEERG_4_6_1_3__6_Stage2NitrogenInMMS(F$152,G183)</f>
        <v>0.65190559679999993</v>
      </c>
      <c r="H202" s="15" cm="1">
        <f t="array" ref="H202">MMS_Poultry_N2ODirect_Equations.VEERG_4_6_1_3__6_Stage2NitrogenInMMS(G$152,H183)</f>
        <v>0.76524023039999989</v>
      </c>
      <c r="I202" s="15" cm="1">
        <f t="array" ref="I202">MMS_Poultry_N2ODirect_Equations.VEERG_4_6_1_3__6_Stage2NitrogenInMMS(H$152,I183)</f>
        <v>0.65190559679999993</v>
      </c>
      <c r="J202" s="16"/>
      <c r="N202" s="15"/>
      <c r="O202" s="15" t="str">
        <f>INDEX(X_Table_Poultry_Stage2MMS_ManureStoredInHouse,5,1)</f>
        <v>Direct processing</v>
      </c>
      <c r="P202" s="15" cm="1">
        <f t="array" ref="P202">MMS_Poultry_N2ODirect_Equations.VEERG_4_6_1_3__6_Stage2NitrogenInMMS(O$152,F183)</f>
        <v>0.61074998400000013</v>
      </c>
      <c r="Q202" s="15" cm="1">
        <f t="array" ref="Q202">MMS_Poultry_N2ODirect_Equations.VEERG_4_6_1_3__6_Stage2NitrogenInMMS(P$152,G183)</f>
        <v>0.65190559679999993</v>
      </c>
      <c r="R202" s="15" cm="1">
        <f t="array" ref="R202">MMS_Poultry_N2ODirect_Equations.VEERG_4_6_1_3__6_Stage2NitrogenInMMS(Q$152,H183)</f>
        <v>0.76524023039999989</v>
      </c>
      <c r="S202" s="15" cm="1">
        <f t="array" ref="S202">MMS_Poultry_N2ODirect_Equations.VEERG_4_6_1_3__6_Stage2NitrogenInMMS(R$152,I183)</f>
        <v>0.65190559679999993</v>
      </c>
      <c r="T202" s="16"/>
    </row>
    <row r="203" spans="3:21" ht="20.100000000000001" customHeight="1" x14ac:dyDescent="0.2">
      <c r="D203" s="15"/>
      <c r="E203" s="15" t="str">
        <f>INDEX(X_Table_Poultry_Stage2MMS_ManureStoredInHouse,6,1)</f>
        <v>Direct application</v>
      </c>
      <c r="F203" s="15" cm="1">
        <f t="array" ref="F203">MMS_Poultry_N2ODirect_Equations.VEERG_4_6_1_3__6_Stage2NitrogenInMMS(E$152,F184)</f>
        <v>0.61074998399999991</v>
      </c>
      <c r="G203" s="15" cm="1">
        <f t="array" ref="G203">MMS_Poultry_N2ODirect_Equations.VEERG_4_6_1_3__6_Stage2NitrogenInMMS(F$152,G184)</f>
        <v>0.65190559679999971</v>
      </c>
      <c r="H203" s="15" cm="1">
        <f t="array" ref="H203">MMS_Poultry_N2ODirect_Equations.VEERG_4_6_1_3__6_Stage2NitrogenInMMS(G$152,H184)</f>
        <v>0.76524023039999967</v>
      </c>
      <c r="I203" s="15" cm="1">
        <f t="array" ref="I203">MMS_Poultry_N2ODirect_Equations.VEERG_4_6_1_3__6_Stage2NitrogenInMMS(H$152,I184)</f>
        <v>0.65190559679999971</v>
      </c>
      <c r="N203" s="15"/>
      <c r="O203" s="15" t="str">
        <f>INDEX(X_Table_Poultry_Stage2MMS_ManureStoredInHouse,6,1)</f>
        <v>Direct application</v>
      </c>
      <c r="P203" s="15" cm="1">
        <f t="array" ref="P203">MMS_Poultry_N2ODirect_Equations.VEERG_4_6_1_3__6_Stage2NitrogenInMMS(O$152,F184)</f>
        <v>0.61074998399999991</v>
      </c>
      <c r="Q203" s="15" cm="1">
        <f t="array" ref="Q203">MMS_Poultry_N2ODirect_Equations.VEERG_4_6_1_3__6_Stage2NitrogenInMMS(P$152,G184)</f>
        <v>0.65190559679999971</v>
      </c>
      <c r="R203" s="15" cm="1">
        <f t="array" ref="R203">MMS_Poultry_N2ODirect_Equations.VEERG_4_6_1_3__6_Stage2NitrogenInMMS(Q$152,H184)</f>
        <v>0.76524023039999967</v>
      </c>
      <c r="S203" s="15" cm="1">
        <f t="array" ref="S203">MMS_Poultry_N2ODirect_Equations.VEERG_4_6_1_3__6_Stage2NitrogenInMMS(R$152,I184)</f>
        <v>0.65190559679999971</v>
      </c>
    </row>
    <row r="206" spans="3:21" ht="20.100000000000001" customHeight="1" x14ac:dyDescent="0.2">
      <c r="C206" s="83"/>
      <c r="D206" s="83"/>
      <c r="E206" s="83"/>
      <c r="F206" s="83"/>
      <c r="G206" s="83"/>
      <c r="H206" s="83"/>
      <c r="I206" s="83"/>
      <c r="J206" s="83"/>
      <c r="K206" s="83"/>
      <c r="M206" s="83"/>
      <c r="N206" s="83"/>
      <c r="O206" s="83"/>
      <c r="P206" s="83"/>
      <c r="Q206" s="83"/>
      <c r="R206" s="83"/>
      <c r="S206" s="83"/>
      <c r="T206" s="83"/>
      <c r="U206" s="83"/>
    </row>
    <row r="207" spans="3:21" ht="20.100000000000001" customHeight="1" x14ac:dyDescent="0.2">
      <c r="D207" s="2" t="str" cm="1">
        <f t="array" ref="D207">MMS_Poultry_N2ODirect_Equations.VEERG_4_6_1_3__1_TotalAnnualDirectNitrousOxideEmissionsFromMMS_Title()</f>
        <v>Total annual direct nitrous oxide emissions from manure management systems</v>
      </c>
    </row>
    <row r="208" spans="3:21" ht="20.100000000000001" customHeight="1" x14ac:dyDescent="0.2">
      <c r="D208" s="17" t="str" cm="1">
        <f t="array" ref="D208">MMS_Poultry_N2ODirect_Equations.VEERG_4_6_1_3__1_TotalAnnualDirectNitrousOxideEmissionsFromMMS_Source()</f>
        <v>VEERG 2026: 4.6.1.3, Equation (1)</v>
      </c>
    </row>
    <row r="209" spans="1:19" ht="20.100000000000001" customHeight="1" x14ac:dyDescent="0.2">
      <c r="D209" s="112" t="s">
        <v>328</v>
      </c>
      <c r="E209" s="112" t="str" cm="1">
        <f t="array" aca="1" ref="E209" ca="1">Common_InputFunctions.Utility_DisplayFunctionName(F225)</f>
        <v>=MMS_Poultry_N2ODirect_Equations.VEERG_4_6_1_3__1_TotalAnnualDirectNitrousOxideEmissionsFromMMS</v>
      </c>
    </row>
    <row r="212" spans="1:19" ht="20.100000000000001" customHeight="1" x14ac:dyDescent="0.2">
      <c r="D212" s="75" t="s">
        <v>329</v>
      </c>
      <c r="E212" s="1" t="str" cm="1">
        <f t="array" ref="E212">MMS_Poultry_N2ODirect_Equations.VEERG_4_6_1_3__1_TotalAnnualDirectNitrousOxideEmissionsFromMMS_Variable()</f>
        <v>E_N2Odir</v>
      </c>
    </row>
    <row r="213" spans="1:19" ht="20.100000000000001" customHeight="1" x14ac:dyDescent="0.2">
      <c r="D213" s="75" t="s">
        <v>118</v>
      </c>
      <c r="E213" s="9" t="str" cm="1">
        <f t="array" ref="E213">MMS_Poultry_N2ODirect_Equations.VEERG_4_6_1_3__1_TotalAnnualDirectNitrousOxideEmissionsFromMMS_Unit()</f>
        <v>t N2O</v>
      </c>
    </row>
    <row r="215" spans="1:19" ht="20.100000000000001" customHeight="1" x14ac:dyDescent="0.2">
      <c r="D215" s="113" t="str" cm="1">
        <f t="array" ref="D215:E217">_xlfn.CHOOSECOLS(MMS_Poultry_N2ODirect_Equations.VEERG_4_6_1_3__1_TotalAnnualDirectNitrousOxideEmissionsFromMMS_Arguments(),1,2)</f>
        <v>MN_jkmT</v>
      </c>
      <c r="E215" s="122" t="str">
        <v>nitrogen per poultry class, subclass, MMS and treatment stage</v>
      </c>
      <c r="F215" s="123"/>
      <c r="G215" s="113" t="str" cm="1">
        <f t="array" ref="G215:H217">_xlfn.CHOOSECOLS(MMS_Poultry_N2ODirect_Equations.VEERG_4_6_1_3__1_TotalAnnualDirectNitrousOxideEmissionsFromMMS_Arguments(),3,4)</f>
        <v>kg N</v>
      </c>
      <c r="H215" s="115" t="str">
        <v>Calculated from 4.6.1.3 (2)(6)</v>
      </c>
      <c r="I215" s="116" t="str" cm="1">
        <f t="array" aca="1" ref="I215" ca="1">HYPERLINK(Common_InputFunctions.Utility_SourceHyperlink($D$105),$D$105)</f>
        <v>M1_Table_MN_j_k_m_T-1</v>
      </c>
      <c r="J215" s="116" t="str" cm="1">
        <f t="array" aca="1" ref="J215" ca="1">HYPERLINK(Common_InputFunctions.Utility_SourceHyperlink($D$186),$D$186)</f>
        <v>M1_Table_MN_j_k_m_T-2</v>
      </c>
    </row>
    <row r="216" spans="1:19" ht="20.100000000000001" customHeight="1" x14ac:dyDescent="0.2">
      <c r="D216" s="113" t="str">
        <v>EF_jm</v>
      </c>
      <c r="E216" s="122" t="str">
        <v>nitrous oxide emission factor for MMS</v>
      </c>
      <c r="F216" s="123"/>
      <c r="G216" s="113" t="str">
        <v>kg N2O-N/kg N</v>
      </c>
      <c r="H216" s="115" t="str">
        <v>Constant</v>
      </c>
      <c r="I216" s="116" t="str" cm="1">
        <f t="array" aca="1" ref="I216" ca="1">HYPERLINK(Common_InputFunctions.Utility_SourceHyperlink($D$135),$D$135)</f>
        <v>Table_EF_m</v>
      </c>
      <c r="J216" s="116"/>
    </row>
    <row r="217" spans="1:19" ht="20.100000000000001" customHeight="1" x14ac:dyDescent="0.2">
      <c r="D217" s="113" t="str">
        <v>C_N2O</v>
      </c>
      <c r="E217" s="122" t="str">
        <v>factor to convert elemental mass of nitrous oxide to molecular mass</v>
      </c>
      <c r="F217" s="123"/>
      <c r="G217" s="113" t="str">
        <v>ratio</v>
      </c>
      <c r="H217" s="115" t="str">
        <v>Constant</v>
      </c>
      <c r="I217" s="113">
        <f>Common_InputFunctions.Utility_LookupValueInTableNumber("N2O",Table_GasToMolecularConversionFactor[Gas],Table_GasToMolecularConversionFactor[Conversion factor combined])</f>
        <v>1.5714285714285714</v>
      </c>
      <c r="J217" s="113"/>
    </row>
    <row r="218" spans="1:19" ht="20.100000000000001" customHeight="1" x14ac:dyDescent="0.2">
      <c r="A218" s="79" t="str">
        <f>HYPERLINK("#A1", "▲ Back to top")</f>
        <v>▲ Back to top</v>
      </c>
    </row>
    <row r="219" spans="1:19" ht="20.100000000000001" customHeight="1" x14ac:dyDescent="0.2">
      <c r="D219" s="131" t="s">
        <v>415</v>
      </c>
      <c r="E219" s="43"/>
      <c r="F219" s="43"/>
      <c r="G219" s="44"/>
    </row>
    <row r="220" spans="1:19" ht="20.100000000000001" customHeight="1" x14ac:dyDescent="0.2">
      <c r="D220" s="45" t="s">
        <v>416</v>
      </c>
      <c r="E220" s="46"/>
      <c r="F220" s="46"/>
      <c r="G220" s="47"/>
    </row>
    <row r="222" spans="1:19" ht="20.100000000000001" customHeight="1" x14ac:dyDescent="0.2">
      <c r="D222" s="118" t="s">
        <v>417</v>
      </c>
      <c r="N222" s="118" t="s">
        <v>418</v>
      </c>
    </row>
    <row r="223" spans="1:19" ht="20.100000000000001" customHeight="1" x14ac:dyDescent="0.2">
      <c r="D223" s="119" t="s">
        <v>419</v>
      </c>
      <c r="N223" s="119" t="s">
        <v>420</v>
      </c>
    </row>
    <row r="224" spans="1:19" ht="20.100000000000001" customHeight="1" x14ac:dyDescent="0.2">
      <c r="D224" s="120" t="s">
        <v>314</v>
      </c>
      <c r="E224" s="120" t="s">
        <v>318</v>
      </c>
      <c r="F224" s="120" t="s">
        <v>297</v>
      </c>
      <c r="G224" s="120" t="s">
        <v>298</v>
      </c>
      <c r="H224" s="120" t="s">
        <v>299</v>
      </c>
      <c r="I224" s="120" t="s">
        <v>300</v>
      </c>
      <c r="N224" s="120" t="s">
        <v>314</v>
      </c>
      <c r="O224" s="120" t="s">
        <v>318</v>
      </c>
      <c r="P224" s="120" t="s">
        <v>297</v>
      </c>
      <c r="Q224" s="120" t="s">
        <v>298</v>
      </c>
      <c r="R224" s="120" t="s">
        <v>299</v>
      </c>
      <c r="S224" s="120" t="s">
        <v>300</v>
      </c>
    </row>
    <row r="225" spans="4:20" ht="20.100000000000001" customHeight="1" x14ac:dyDescent="0.2">
      <c r="D225" s="15" t="str">
        <f>INDEX(X_Table_Poultry_Stage1MMS,2,1)</f>
        <v>Poultry manure with bedding</v>
      </c>
      <c r="E225" s="15" t="s">
        <v>124</v>
      </c>
      <c r="F225" s="15" cm="1">
        <f t="array" ref="F225">MMS_Poultry_N2ODirect_Equations.VEERG_4_6_1_3__1_TotalAnnualDirectNitrousOxideEmissionsFromMMS(E108, _xlfn.XLOOKUP($D225, $D$138:$D$145,$E$138:$E$145), $I$217)</f>
        <v>8.0112685714285736E-6</v>
      </c>
      <c r="G225" s="15" cm="1">
        <f t="array" ref="G225">MMS_Poultry_N2ODirect_Equations.VEERG_4_6_1_3__1_TotalAnnualDirectNitrousOxideEmissionsFromMMS(F108, _xlfn.XLOOKUP($D225, $D$138:$D$145,$E$138:$E$145), $I$217)</f>
        <v>8.5511108571428573E-6</v>
      </c>
      <c r="H225" s="15" cm="1">
        <f t="array" ref="H225">MMS_Poultry_N2ODirect_Equations.VEERG_4_6_1_3__1_TotalAnnualDirectNitrousOxideEmissionsFromMMS(G108, _xlfn.XLOOKUP($D225, $D$138:$D$145,$E$138:$E$145), $I$217)</f>
        <v>1.0037732571428572E-5</v>
      </c>
      <c r="I225" s="15" cm="1">
        <f t="array" ref="I225">MMS_Poultry_N2ODirect_Equations.VEERG_4_6_1_3__1_TotalAnnualDirectNitrousOxideEmissionsFromMMS(H108, _xlfn.XLOOKUP($D225, $D$138:$D$145,$E$138:$E$145), $I$217)</f>
        <v>8.5511108571428573E-6</v>
      </c>
      <c r="J225" s="16" t="str">
        <f>$E$213</f>
        <v>t N2O</v>
      </c>
      <c r="N225" s="15" t="str">
        <f>INDEX(X_Table_Poultry_Stage1MMS,2,1)</f>
        <v>Poultry manure with bedding</v>
      </c>
      <c r="O225" s="15" t="s">
        <v>124</v>
      </c>
      <c r="P225" s="15" cm="1">
        <f t="array" ref="P225">MMS_Poultry_N2ODirect_Equations.VEERG_4_6_1_3__1_TotalAnnualDirectNitrousOxideEmissionsFromMMS(O108, _xlfn.XLOOKUP($N225, $D$138:$D$145,$E$138:$E$145), $I$217)</f>
        <v>8.0112685714285736E-6</v>
      </c>
      <c r="Q225" s="15" cm="1">
        <f t="array" ref="Q225">MMS_Poultry_N2ODirect_Equations.VEERG_4_6_1_3__1_TotalAnnualDirectNitrousOxideEmissionsFromMMS(P108, _xlfn.XLOOKUP($N225, $D$138:$D$145,$E$138:$E$145), $I$217)</f>
        <v>8.5511108571428573E-6</v>
      </c>
      <c r="R225" s="15" cm="1">
        <f t="array" ref="R225">MMS_Poultry_N2ODirect_Equations.VEERG_4_6_1_3__1_TotalAnnualDirectNitrousOxideEmissionsFromMMS(Q108, _xlfn.XLOOKUP($N225, $D$138:$D$145,$E$138:$E$145), $I$217)</f>
        <v>1.0037732571428572E-5</v>
      </c>
      <c r="S225" s="15" cm="1">
        <f t="array" ref="S225">MMS_Poultry_N2ODirect_Equations.VEERG_4_6_1_3__1_TotalAnnualDirectNitrousOxideEmissionsFromMMS(R108, _xlfn.XLOOKUP($N225, $D$138:$D$145,$E$138:$E$145), $I$217)</f>
        <v>8.5511108571428573E-6</v>
      </c>
      <c r="T225" s="16" t="str">
        <f>$E$213</f>
        <v>t N2O</v>
      </c>
    </row>
    <row r="226" spans="4:20" ht="20.100000000000001" customHeight="1" x14ac:dyDescent="0.2">
      <c r="D226" s="15" t="str">
        <f>INDEX(X_Table_Poultry_Stage1MMS,3,1)</f>
        <v>Belt manure removal</v>
      </c>
      <c r="E226" s="15" t="s">
        <v>124</v>
      </c>
      <c r="F226" s="15" cm="1">
        <f t="array" ref="F226">MMS_Poultry_N2ODirect_Equations.VEERG_4_6_1_3__1_TotalAnnualDirectNitrousOxideEmissionsFromMMS(E109, _xlfn.XLOOKUP($D226, $D$138:$D$145,$E$138:$E$145), $I$217)</f>
        <v>8.0112685714285736E-6</v>
      </c>
      <c r="G226" s="15" cm="1">
        <f t="array" ref="G226">MMS_Poultry_N2ODirect_Equations.VEERG_4_6_1_3__1_TotalAnnualDirectNitrousOxideEmissionsFromMMS(F109, _xlfn.XLOOKUP($D226, $D$138:$D$145,$E$138:$E$145), $I$217)</f>
        <v>8.5511108571428573E-6</v>
      </c>
      <c r="H226" s="15" cm="1">
        <f t="array" ref="H226">MMS_Poultry_N2ODirect_Equations.VEERG_4_6_1_3__1_TotalAnnualDirectNitrousOxideEmissionsFromMMS(G109, _xlfn.XLOOKUP($D226, $D$138:$D$145,$E$138:$E$145), $I$217)</f>
        <v>1.0037732571428572E-5</v>
      </c>
      <c r="I226" s="15" cm="1">
        <f t="array" ref="I226">MMS_Poultry_N2ODirect_Equations.VEERG_4_6_1_3__1_TotalAnnualDirectNitrousOxideEmissionsFromMMS(H109, _xlfn.XLOOKUP($D226, $D$138:$D$145,$E$138:$E$145), $I$217)</f>
        <v>8.5511108571428573E-6</v>
      </c>
      <c r="J226" s="16"/>
      <c r="N226" s="15" t="str">
        <f>INDEX(X_Table_Poultry_Stage1MMS,3,1)</f>
        <v>Belt manure removal</v>
      </c>
      <c r="O226" s="15" t="s">
        <v>124</v>
      </c>
      <c r="P226" s="15" cm="1">
        <f t="array" ref="P226">MMS_Poultry_N2ODirect_Equations.VEERG_4_6_1_3__1_TotalAnnualDirectNitrousOxideEmissionsFromMMS(O109, _xlfn.XLOOKUP($N226, $D$138:$D$145,$E$138:$E$145), $I$217)</f>
        <v>8.0112685714285736E-6</v>
      </c>
      <c r="Q226" s="15" cm="1">
        <f t="array" ref="Q226">MMS_Poultry_N2ODirect_Equations.VEERG_4_6_1_3__1_TotalAnnualDirectNitrousOxideEmissionsFromMMS(P109, _xlfn.XLOOKUP($N226, $D$138:$D$145,$E$138:$E$145), $I$217)</f>
        <v>8.5511108571428573E-6</v>
      </c>
      <c r="R226" s="15" cm="1">
        <f t="array" ref="R226">MMS_Poultry_N2ODirect_Equations.VEERG_4_6_1_3__1_TotalAnnualDirectNitrousOxideEmissionsFromMMS(Q109, _xlfn.XLOOKUP($N226, $D$138:$D$145,$E$138:$E$145), $I$217)</f>
        <v>1.0037732571428572E-5</v>
      </c>
      <c r="S226" s="15" cm="1">
        <f t="array" ref="S226">MMS_Poultry_N2ODirect_Equations.VEERG_4_6_1_3__1_TotalAnnualDirectNitrousOxideEmissionsFromMMS(R109, _xlfn.XLOOKUP($N226, $D$138:$D$145,$E$138:$E$145), $I$217)</f>
        <v>8.5511108571428573E-6</v>
      </c>
      <c r="T226" s="16"/>
    </row>
    <row r="227" spans="4:20" ht="20.100000000000001" customHeight="1" x14ac:dyDescent="0.2">
      <c r="D227" s="15" t="str">
        <f>INDEX(X_Table_Poultry_Stage1MMS,4,1)</f>
        <v>Manure stored in house</v>
      </c>
      <c r="E227" s="15" t="s">
        <v>124</v>
      </c>
      <c r="F227" s="15" cm="1">
        <f t="array" ref="F227">MMS_Poultry_N2ODirect_Equations.VEERG_4_6_1_3__1_TotalAnnualDirectNitrousOxideEmissionsFromMMS(E110, _xlfn.XLOOKUP($D227, $D$138:$D$145,$E$138:$E$145), $I$217)</f>
        <v>8.0112685714285736E-6</v>
      </c>
      <c r="G227" s="15" cm="1">
        <f t="array" ref="G227">MMS_Poultry_N2ODirect_Equations.VEERG_4_6_1_3__1_TotalAnnualDirectNitrousOxideEmissionsFromMMS(F110, _xlfn.XLOOKUP($D227, $D$138:$D$145,$E$138:$E$145), $I$217)</f>
        <v>8.5511108571428573E-6</v>
      </c>
      <c r="H227" s="15" cm="1">
        <f t="array" ref="H227">MMS_Poultry_N2ODirect_Equations.VEERG_4_6_1_3__1_TotalAnnualDirectNitrousOxideEmissionsFromMMS(G110, _xlfn.XLOOKUP($D227, $D$138:$D$145,$E$138:$E$145), $I$217)</f>
        <v>1.0037732571428572E-5</v>
      </c>
      <c r="I227" s="15" cm="1">
        <f t="array" ref="I227">MMS_Poultry_N2ODirect_Equations.VEERG_4_6_1_3__1_TotalAnnualDirectNitrousOxideEmissionsFromMMS(H110, _xlfn.XLOOKUP($D227, $D$138:$D$145,$E$138:$E$145), $I$217)</f>
        <v>8.5511108571428573E-6</v>
      </c>
      <c r="J227" s="16"/>
      <c r="N227" s="15" t="str">
        <f>INDEX(X_Table_Poultry_Stage1MMS,4,1)</f>
        <v>Manure stored in house</v>
      </c>
      <c r="O227" s="15" t="s">
        <v>124</v>
      </c>
      <c r="P227" s="15" cm="1">
        <f t="array" ref="P227">MMS_Poultry_N2ODirect_Equations.VEERG_4_6_1_3__1_TotalAnnualDirectNitrousOxideEmissionsFromMMS(O110, _xlfn.XLOOKUP($N227, $D$138:$D$145,$E$138:$E$145), $I$217)</f>
        <v>8.0112685714285736E-6</v>
      </c>
      <c r="Q227" s="15" cm="1">
        <f t="array" ref="Q227">MMS_Poultry_N2ODirect_Equations.VEERG_4_6_1_3__1_TotalAnnualDirectNitrousOxideEmissionsFromMMS(P110, _xlfn.XLOOKUP($N227, $D$138:$D$145,$E$138:$E$145), $I$217)</f>
        <v>8.5511108571428573E-6</v>
      </c>
      <c r="R227" s="15" cm="1">
        <f t="array" ref="R227">MMS_Poultry_N2ODirect_Equations.VEERG_4_6_1_3__1_TotalAnnualDirectNitrousOxideEmissionsFromMMS(Q110, _xlfn.XLOOKUP($N227, $D$138:$D$145,$E$138:$E$145), $I$217)</f>
        <v>1.0037732571428572E-5</v>
      </c>
      <c r="S227" s="15" cm="1">
        <f t="array" ref="S227">MMS_Poultry_N2ODirect_Equations.VEERG_4_6_1_3__1_TotalAnnualDirectNitrousOxideEmissionsFromMMS(R110, _xlfn.XLOOKUP($N227, $D$138:$D$145,$E$138:$E$145), $I$217)</f>
        <v>8.5511108571428573E-6</v>
      </c>
      <c r="T227" s="16"/>
    </row>
    <row r="228" spans="4:20" ht="20.100000000000001" customHeight="1" x14ac:dyDescent="0.2">
      <c r="D228" s="15" t="str">
        <f>INDEX(X_Table_Poultry_Stage1MMS,5,1)</f>
        <v>Pasture range and paddock</v>
      </c>
      <c r="E228" s="15" t="s">
        <v>124</v>
      </c>
      <c r="F228" s="15" cm="1">
        <f t="array" ref="F228">MMS_Poultry_N2ODirect_Equations.VEERG_4_6_1_3__1_TotalAnnualDirectNitrousOxideEmissionsFromMMS(E111, _xlfn.XLOOKUP($D228, $D$138:$D$145,$E$138:$E$145), $I$217)</f>
        <v>5.3408457142857159E-5</v>
      </c>
      <c r="G228" s="15" cm="1">
        <f t="array" ref="G228">MMS_Poultry_N2ODirect_Equations.VEERG_4_6_1_3__1_TotalAnnualDirectNitrousOxideEmissionsFromMMS(F111, _xlfn.XLOOKUP($D228, $D$138:$D$145,$E$138:$E$145), $I$217)</f>
        <v>5.700740571428572E-5</v>
      </c>
      <c r="H228" s="15" cm="1">
        <f t="array" ref="H228">MMS_Poultry_N2ODirect_Equations.VEERG_4_6_1_3__1_TotalAnnualDirectNitrousOxideEmissionsFromMMS(G111, _xlfn.XLOOKUP($D228, $D$138:$D$145,$E$138:$E$145), $I$217)</f>
        <v>6.6918217142857147E-5</v>
      </c>
      <c r="I228" s="15" cm="1">
        <f t="array" ref="I228">MMS_Poultry_N2ODirect_Equations.VEERG_4_6_1_3__1_TotalAnnualDirectNitrousOxideEmissionsFromMMS(H111, _xlfn.XLOOKUP($D228, $D$138:$D$145,$E$138:$E$145), $I$217)</f>
        <v>5.700740571428572E-5</v>
      </c>
      <c r="J228" s="16"/>
      <c r="N228" s="15" t="str">
        <f>INDEX(X_Table_Poultry_Stage1MMS,5,1)</f>
        <v>Pasture range and paddock</v>
      </c>
      <c r="O228" s="15" t="s">
        <v>124</v>
      </c>
      <c r="P228" s="15" cm="1">
        <f t="array" ref="P228">MMS_Poultry_N2ODirect_Equations.VEERG_4_6_1_3__1_TotalAnnualDirectNitrousOxideEmissionsFromMMS(O111, _xlfn.XLOOKUP($N228, $D$138:$D$145,$E$138:$E$145), $I$217)</f>
        <v>5.3408457142857159E-5</v>
      </c>
      <c r="Q228" s="15" cm="1">
        <f t="array" ref="Q228">MMS_Poultry_N2ODirect_Equations.VEERG_4_6_1_3__1_TotalAnnualDirectNitrousOxideEmissionsFromMMS(P111, _xlfn.XLOOKUP($N228, $D$138:$D$145,$E$138:$E$145), $I$217)</f>
        <v>5.700740571428572E-5</v>
      </c>
      <c r="R228" s="15" cm="1">
        <f t="array" ref="R228">MMS_Poultry_N2ODirect_Equations.VEERG_4_6_1_3__1_TotalAnnualDirectNitrousOxideEmissionsFromMMS(Q111, _xlfn.XLOOKUP($N228, $D$138:$D$145,$E$138:$E$145), $I$217)</f>
        <v>6.6918217142857147E-5</v>
      </c>
      <c r="S228" s="15" cm="1">
        <f t="array" ref="S228">MMS_Poultry_N2ODirect_Equations.VEERG_4_6_1_3__1_TotalAnnualDirectNitrousOxideEmissionsFromMMS(R111, _xlfn.XLOOKUP($N228, $D$138:$D$145,$E$138:$E$145), $I$217)</f>
        <v>5.700740571428572E-5</v>
      </c>
      <c r="T228" s="16"/>
    </row>
    <row r="229" spans="4:20" ht="20.100000000000001" customHeight="1" x14ac:dyDescent="0.2">
      <c r="D229" s="15" t="str">
        <f>INDEX(X_Table_Poultry_Stage1MMS,2,1)</f>
        <v>Poultry manure with bedding</v>
      </c>
      <c r="E229" s="15" t="str">
        <f>INDEX(X_Table_Poultry_Stage2MMS_PoultryManureWithBedding,2,1)</f>
        <v>Solid storage</v>
      </c>
      <c r="F229" s="15" cm="1">
        <f t="array" ref="F229">MMS_Poultry_N2ODirect_Equations.VEERG_4_6_1_3__1_TotalAnnualDirectNitrousOxideEmissionsFromMMS(F189, _xlfn.XLOOKUP($E229, $D$138:$D$145,$E$138:$E$145), $I$217)</f>
        <v>5.5998767314285723E-6</v>
      </c>
      <c r="G229" s="15" cm="1">
        <f t="array" ref="G229">MMS_Poultry_N2ODirect_Equations.VEERG_4_6_1_3__1_TotalAnnualDirectNitrousOxideEmissionsFromMMS(G189, _xlfn.XLOOKUP($E229, $D$138:$D$145,$E$138:$E$145), $I$217)</f>
        <v>5.9772264891428572E-6</v>
      </c>
      <c r="H229" s="15" cm="1">
        <f t="array" ref="H229">MMS_Poultry_N2ODirect_Equations.VEERG_4_6_1_3__1_TotalAnnualDirectNitrousOxideEmissionsFromMMS(H189, _xlfn.XLOOKUP($E229, $D$138:$D$145,$E$138:$E$145), $I$217)</f>
        <v>7.0163750674285713E-6</v>
      </c>
      <c r="I229" s="15" cm="1">
        <f t="array" ref="I229">MMS_Poultry_N2ODirect_Equations.VEERG_4_6_1_3__1_TotalAnnualDirectNitrousOxideEmissionsFromMMS(I189, _xlfn.XLOOKUP($E229, $D$138:$D$145,$E$138:$E$145), $I$217)</f>
        <v>5.9772264891428572E-6</v>
      </c>
      <c r="J229" s="16"/>
      <c r="N229" s="15" t="str">
        <f>INDEX(X_Table_Poultry_Stage1MMS,2,1)</f>
        <v>Poultry manure with bedding</v>
      </c>
      <c r="O229" s="15" t="str">
        <f>INDEX(X_Table_Poultry_Stage2MMS_PoultryManureWithBedding,2,1)</f>
        <v>Solid storage</v>
      </c>
      <c r="P229" s="15" cm="1">
        <f t="array" ref="P229">MMS_Poultry_N2ODirect_Equations.VEERG_4_6_1_3__1_TotalAnnualDirectNitrousOxideEmissionsFromMMS(P189, _xlfn.XLOOKUP($O229, $D$138:$D$145,$E$138:$E$145), $I$217)</f>
        <v>5.5998767314285723E-6</v>
      </c>
      <c r="Q229" s="15" cm="1">
        <f t="array" ref="Q229">MMS_Poultry_N2ODirect_Equations.VEERG_4_6_1_3__1_TotalAnnualDirectNitrousOxideEmissionsFromMMS(Q189, _xlfn.XLOOKUP($O229, $D$138:$D$145,$E$138:$E$145), $I$217)</f>
        <v>5.9772264891428572E-6</v>
      </c>
      <c r="R229" s="15" cm="1">
        <f t="array" ref="R229">MMS_Poultry_N2ODirect_Equations.VEERG_4_6_1_3__1_TotalAnnualDirectNitrousOxideEmissionsFromMMS(R189, _xlfn.XLOOKUP($O229, $D$138:$D$145,$E$138:$E$145), $I$217)</f>
        <v>7.0163750674285713E-6</v>
      </c>
      <c r="S229" s="15" cm="1">
        <f t="array" ref="S229">MMS_Poultry_N2ODirect_Equations.VEERG_4_6_1_3__1_TotalAnnualDirectNitrousOxideEmissionsFromMMS(S189, _xlfn.XLOOKUP($O229, $D$138:$D$145,$E$138:$E$145), $I$217)</f>
        <v>5.9772264891428572E-6</v>
      </c>
      <c r="T229" s="16"/>
    </row>
    <row r="230" spans="4:20" ht="20.100000000000001" customHeight="1" x14ac:dyDescent="0.2">
      <c r="D230" s="15"/>
      <c r="E230" s="15" t="str">
        <f>INDEX(X_Table_Poultry_Stage2MMS_PoultryManureWithBedding,3,1)</f>
        <v>Composting (passive windrow)</v>
      </c>
      <c r="F230" s="15" cm="1">
        <f t="array" ref="F230">MMS_Poultry_N2ODirect_Equations.VEERG_4_6_1_3__1_TotalAnnualDirectNitrousOxideEmissionsFromMMS(F190, _xlfn.XLOOKUP($E230, $D$138:$D$145,$E$138:$E$145), $I$217)</f>
        <v>1.1199753462857145E-5</v>
      </c>
      <c r="G230" s="15" cm="1">
        <f t="array" ref="G230">MMS_Poultry_N2ODirect_Equations.VEERG_4_6_1_3__1_TotalAnnualDirectNitrousOxideEmissionsFromMMS(G190, _xlfn.XLOOKUP($E230, $D$138:$D$145,$E$138:$E$145), $I$217)</f>
        <v>1.1954452978285714E-5</v>
      </c>
      <c r="H230" s="15" cm="1">
        <f t="array" ref="H230">MMS_Poultry_N2ODirect_Equations.VEERG_4_6_1_3__1_TotalAnnualDirectNitrousOxideEmissionsFromMMS(H190, _xlfn.XLOOKUP($E230, $D$138:$D$145,$E$138:$E$145), $I$217)</f>
        <v>1.4032750134857143E-5</v>
      </c>
      <c r="I230" s="15" cm="1">
        <f t="array" ref="I230">MMS_Poultry_N2ODirect_Equations.VEERG_4_6_1_3__1_TotalAnnualDirectNitrousOxideEmissionsFromMMS(I190, _xlfn.XLOOKUP($E230, $D$138:$D$145,$E$138:$E$145), $I$217)</f>
        <v>1.1954452978285714E-5</v>
      </c>
      <c r="J230" s="16"/>
      <c r="N230" s="15"/>
      <c r="O230" s="15" t="str">
        <f>INDEX(X_Table_Poultry_Stage2MMS_PoultryManureWithBedding,3,1)</f>
        <v>Composting (passive windrow)</v>
      </c>
      <c r="P230" s="15" cm="1">
        <f t="array" ref="P230">MMS_Poultry_N2ODirect_Equations.VEERG_4_6_1_3__1_TotalAnnualDirectNitrousOxideEmissionsFromMMS(P190, _xlfn.XLOOKUP($O230, $D$138:$D$145,$E$138:$E$145), $I$217)</f>
        <v>1.1199753462857145E-5</v>
      </c>
      <c r="Q230" s="15" cm="1">
        <f t="array" ref="Q230">MMS_Poultry_N2ODirect_Equations.VEERG_4_6_1_3__1_TotalAnnualDirectNitrousOxideEmissionsFromMMS(Q190, _xlfn.XLOOKUP($O230, $D$138:$D$145,$E$138:$E$145), $I$217)</f>
        <v>1.1954452978285714E-5</v>
      </c>
      <c r="R230" s="15" cm="1">
        <f t="array" ref="R230">MMS_Poultry_N2ODirect_Equations.VEERG_4_6_1_3__1_TotalAnnualDirectNitrousOxideEmissionsFromMMS(R190, _xlfn.XLOOKUP($O230, $D$138:$D$145,$E$138:$E$145), $I$217)</f>
        <v>1.4032750134857143E-5</v>
      </c>
      <c r="S230" s="15" cm="1">
        <f t="array" ref="S230">MMS_Poultry_N2ODirect_Equations.VEERG_4_6_1_3__1_TotalAnnualDirectNitrousOxideEmissionsFromMMS(S190, _xlfn.XLOOKUP($O230, $D$138:$D$145,$E$138:$E$145), $I$217)</f>
        <v>1.1954452978285714E-5</v>
      </c>
      <c r="T230" s="16"/>
    </row>
    <row r="231" spans="4:20" ht="20.100000000000001" customHeight="1" x14ac:dyDescent="0.2">
      <c r="D231" s="15"/>
      <c r="E231" s="15" t="str">
        <f>INDEX(X_Table_Poultry_Stage2MMS_PoultryManureWithBedding,4,1)</f>
        <v>Digester / covered lagoons</v>
      </c>
      <c r="F231" s="15" cm="1">
        <f t="array" ref="F231">MMS_Poultry_N2ODirect_Equations.VEERG_4_6_1_3__1_TotalAnnualDirectNitrousOxideEmissionsFromMMS(F191, _xlfn.XLOOKUP($E231, $D$138:$D$145,$E$138:$E$145), $I$217)</f>
        <v>0</v>
      </c>
      <c r="G231" s="15" cm="1">
        <f t="array" ref="G231">MMS_Poultry_N2ODirect_Equations.VEERG_4_6_1_3__1_TotalAnnualDirectNitrousOxideEmissionsFromMMS(G191, _xlfn.XLOOKUP($E231, $D$138:$D$145,$E$138:$E$145), $I$217)</f>
        <v>0</v>
      </c>
      <c r="H231" s="15" cm="1">
        <f t="array" ref="H231">MMS_Poultry_N2ODirect_Equations.VEERG_4_6_1_3__1_TotalAnnualDirectNitrousOxideEmissionsFromMMS(H191, _xlfn.XLOOKUP($E231, $D$138:$D$145,$E$138:$E$145), $I$217)</f>
        <v>0</v>
      </c>
      <c r="I231" s="15" cm="1">
        <f t="array" ref="I231">MMS_Poultry_N2ODirect_Equations.VEERG_4_6_1_3__1_TotalAnnualDirectNitrousOxideEmissionsFromMMS(I191, _xlfn.XLOOKUP($E231, $D$138:$D$145,$E$138:$E$145), $I$217)</f>
        <v>0</v>
      </c>
      <c r="J231" s="16"/>
      <c r="N231" s="15"/>
      <c r="O231" s="15" t="str">
        <f>INDEX(X_Table_Poultry_Stage2MMS_PoultryManureWithBedding,4,1)</f>
        <v>Digester / covered lagoons</v>
      </c>
      <c r="P231" s="15" cm="1">
        <f t="array" ref="P231">MMS_Poultry_N2ODirect_Equations.VEERG_4_6_1_3__1_TotalAnnualDirectNitrousOxideEmissionsFromMMS(P191, _xlfn.XLOOKUP($O231, $D$138:$D$145,$E$138:$E$145), $I$217)</f>
        <v>0</v>
      </c>
      <c r="Q231" s="15" cm="1">
        <f t="array" ref="Q231">MMS_Poultry_N2ODirect_Equations.VEERG_4_6_1_3__1_TotalAnnualDirectNitrousOxideEmissionsFromMMS(Q191, _xlfn.XLOOKUP($O231, $D$138:$D$145,$E$138:$E$145), $I$217)</f>
        <v>0</v>
      </c>
      <c r="R231" s="15" cm="1">
        <f t="array" ref="R231">MMS_Poultry_N2ODirect_Equations.VEERG_4_6_1_3__1_TotalAnnualDirectNitrousOxideEmissionsFromMMS(R191, _xlfn.XLOOKUP($O231, $D$138:$D$145,$E$138:$E$145), $I$217)</f>
        <v>0</v>
      </c>
      <c r="S231" s="15" cm="1">
        <f t="array" ref="S231">MMS_Poultry_N2ODirect_Equations.VEERG_4_6_1_3__1_TotalAnnualDirectNitrousOxideEmissionsFromMMS(S191, _xlfn.XLOOKUP($O231, $D$138:$D$145,$E$138:$E$145), $I$217)</f>
        <v>0</v>
      </c>
      <c r="T231" s="16"/>
    </row>
    <row r="232" spans="4:20" ht="20.100000000000001" customHeight="1" x14ac:dyDescent="0.2">
      <c r="D232" s="15"/>
      <c r="E232" s="15" t="str">
        <f>INDEX(X_Table_Poultry_Stage2MMS_PoultryManureWithBedding,5,1)</f>
        <v>Direct processing</v>
      </c>
      <c r="F232" s="15" cm="1">
        <f t="array" ref="F232">MMS_Poultry_N2ODirect_Equations.VEERG_4_6_1_3__1_TotalAnnualDirectNitrousOxideEmissionsFromMMS(F192, _xlfn.XLOOKUP($E232, $D$138:$D$145,$E$138:$E$145), $I$217)</f>
        <v>0</v>
      </c>
      <c r="G232" s="15" cm="1">
        <f t="array" ref="G232">MMS_Poultry_N2ODirect_Equations.VEERG_4_6_1_3__1_TotalAnnualDirectNitrousOxideEmissionsFromMMS(G192, _xlfn.XLOOKUP($E232, $D$138:$D$145,$E$138:$E$145), $I$217)</f>
        <v>0</v>
      </c>
      <c r="H232" s="15" cm="1">
        <f t="array" ref="H232">MMS_Poultry_N2ODirect_Equations.VEERG_4_6_1_3__1_TotalAnnualDirectNitrousOxideEmissionsFromMMS(H192, _xlfn.XLOOKUP($E232, $D$138:$D$145,$E$138:$E$145), $I$217)</f>
        <v>0</v>
      </c>
      <c r="I232" s="15" cm="1">
        <f t="array" ref="I232">MMS_Poultry_N2ODirect_Equations.VEERG_4_6_1_3__1_TotalAnnualDirectNitrousOxideEmissionsFromMMS(I192, _xlfn.XLOOKUP($E232, $D$138:$D$145,$E$138:$E$145), $I$217)</f>
        <v>0</v>
      </c>
      <c r="J232" s="16"/>
      <c r="N232" s="15"/>
      <c r="O232" s="15" t="str">
        <f>INDEX(X_Table_Poultry_Stage2MMS_PoultryManureWithBedding,5,1)</f>
        <v>Direct processing</v>
      </c>
      <c r="P232" s="15" cm="1">
        <f t="array" ref="P232">MMS_Poultry_N2ODirect_Equations.VEERG_4_6_1_3__1_TotalAnnualDirectNitrousOxideEmissionsFromMMS(P192, _xlfn.XLOOKUP($O232, $D$138:$D$145,$E$138:$E$145), $I$217)</f>
        <v>0</v>
      </c>
      <c r="Q232" s="15" cm="1">
        <f t="array" ref="Q232">MMS_Poultry_N2ODirect_Equations.VEERG_4_6_1_3__1_TotalAnnualDirectNitrousOxideEmissionsFromMMS(Q192, _xlfn.XLOOKUP($O232, $D$138:$D$145,$E$138:$E$145), $I$217)</f>
        <v>0</v>
      </c>
      <c r="R232" s="15" cm="1">
        <f t="array" ref="R232">MMS_Poultry_N2ODirect_Equations.VEERG_4_6_1_3__1_TotalAnnualDirectNitrousOxideEmissionsFromMMS(R192, _xlfn.XLOOKUP($O232, $D$138:$D$145,$E$138:$E$145), $I$217)</f>
        <v>0</v>
      </c>
      <c r="S232" s="15" cm="1">
        <f t="array" ref="S232">MMS_Poultry_N2ODirect_Equations.VEERG_4_6_1_3__1_TotalAnnualDirectNitrousOxideEmissionsFromMMS(S192, _xlfn.XLOOKUP($O232, $D$138:$D$145,$E$138:$E$145), $I$217)</f>
        <v>0</v>
      </c>
      <c r="T232" s="16"/>
    </row>
    <row r="233" spans="4:20" ht="20.100000000000001" customHeight="1" x14ac:dyDescent="0.2">
      <c r="D233" s="15"/>
      <c r="E233" s="15" t="str">
        <f>INDEX(X_Table_Poultry_Stage2MMS_PoultryManureWithBedding,6,1)</f>
        <v>Direct application</v>
      </c>
      <c r="F233" s="15" t="s">
        <v>124</v>
      </c>
      <c r="G233" s="15" t="s">
        <v>124</v>
      </c>
      <c r="H233" s="15" t="s">
        <v>124</v>
      </c>
      <c r="I233" s="15" t="s">
        <v>124</v>
      </c>
      <c r="N233" s="15"/>
      <c r="O233" s="15" t="str">
        <f>INDEX(X_Table_Poultry_Stage2MMS_PoultryManureWithBedding,6,1)</f>
        <v>Direct application</v>
      </c>
      <c r="P233" s="15" t="s">
        <v>124</v>
      </c>
      <c r="Q233" s="15" t="s">
        <v>124</v>
      </c>
      <c r="R233" s="15" t="s">
        <v>124</v>
      </c>
      <c r="S233" s="15" t="s">
        <v>124</v>
      </c>
    </row>
    <row r="234" spans="4:20" ht="20.100000000000001" customHeight="1" x14ac:dyDescent="0.2">
      <c r="D234" s="15" t="str">
        <f>INDEX(X_Table_Poultry_Stage1MMS,3,1)</f>
        <v>Belt manure removal</v>
      </c>
      <c r="E234" s="15" t="str">
        <f>INDEX(X_Table_Poultry_Stage2MMS_BeltManureRemoval,2,1)</f>
        <v>Solid storage</v>
      </c>
      <c r="F234" s="15" cm="1">
        <f t="array" ref="F234">MMS_Poultry_N2ODirect_Equations.VEERG_4_6_1_3__1_TotalAnnualDirectNitrousOxideEmissionsFromMMS(F194, _xlfn.XLOOKUP($E234, $D$138:$D$145,$E$138:$E$145), $I$217)</f>
        <v>7.6026938742857157E-6</v>
      </c>
      <c r="G234" s="15" cm="1">
        <f t="array" ref="G234">MMS_Poultry_N2ODirect_Equations.VEERG_4_6_1_3__1_TotalAnnualDirectNitrousOxideEmissionsFromMMS(G194, _xlfn.XLOOKUP($E234, $D$138:$D$145,$E$138:$E$145), $I$217)</f>
        <v>8.1150042034285711E-6</v>
      </c>
      <c r="H234" s="15" cm="1">
        <f t="array" ref="H234">MMS_Poultry_N2ODirect_Equations.VEERG_4_6_1_3__1_TotalAnnualDirectNitrousOxideEmissionsFromMMS(H194, _xlfn.XLOOKUP($E234, $D$138:$D$145,$E$138:$E$145), $I$217)</f>
        <v>9.5258082102857138E-6</v>
      </c>
      <c r="I234" s="15" cm="1">
        <f t="array" ref="I234">MMS_Poultry_N2ODirect_Equations.VEERG_4_6_1_3__1_TotalAnnualDirectNitrousOxideEmissionsFromMMS(I194, _xlfn.XLOOKUP($E234, $D$138:$D$145,$E$138:$E$145), $I$217)</f>
        <v>8.1150042034285711E-6</v>
      </c>
      <c r="J234" s="16"/>
      <c r="N234" s="15" t="str">
        <f>INDEX(X_Table_Poultry_Stage1MMS,3,1)</f>
        <v>Belt manure removal</v>
      </c>
      <c r="O234" s="15" t="str">
        <f>INDEX(X_Table_Poultry_Stage2MMS_BeltManureRemoval,2,1)</f>
        <v>Solid storage</v>
      </c>
      <c r="P234" s="15" cm="1">
        <f t="array" ref="P234">MMS_Poultry_N2ODirect_Equations.VEERG_4_6_1_3__1_TotalAnnualDirectNitrousOxideEmissionsFromMMS(P194, _xlfn.XLOOKUP($O234, $D$138:$D$145,$E$138:$E$145), $I$217)</f>
        <v>7.6026938742857157E-6</v>
      </c>
      <c r="Q234" s="15" cm="1">
        <f t="array" ref="Q234">MMS_Poultry_N2ODirect_Equations.VEERG_4_6_1_3__1_TotalAnnualDirectNitrousOxideEmissionsFromMMS(Q194, _xlfn.XLOOKUP($O234, $D$138:$D$145,$E$138:$E$145), $I$217)</f>
        <v>8.1150042034285711E-6</v>
      </c>
      <c r="R234" s="15" cm="1">
        <f t="array" ref="R234">MMS_Poultry_N2ODirect_Equations.VEERG_4_6_1_3__1_TotalAnnualDirectNitrousOxideEmissionsFromMMS(R194, _xlfn.XLOOKUP($O234, $D$138:$D$145,$E$138:$E$145), $I$217)</f>
        <v>9.5258082102857138E-6</v>
      </c>
      <c r="S234" s="15" cm="1">
        <f t="array" ref="S234">MMS_Poultry_N2ODirect_Equations.VEERG_4_6_1_3__1_TotalAnnualDirectNitrousOxideEmissionsFromMMS(S194, _xlfn.XLOOKUP($O234, $D$138:$D$145,$E$138:$E$145), $I$217)</f>
        <v>8.1150042034285711E-6</v>
      </c>
      <c r="T234" s="16"/>
    </row>
    <row r="235" spans="4:20" ht="20.100000000000001" customHeight="1" x14ac:dyDescent="0.2">
      <c r="D235" s="15"/>
      <c r="E235" s="15" t="str">
        <f>INDEX(X_Table_Poultry_Stage2MMS_BeltManureRemoval,3,1)</f>
        <v>Composting (passive windrow)</v>
      </c>
      <c r="F235" s="15" cm="1">
        <f t="array" ref="F235">MMS_Poultry_N2ODirect_Equations.VEERG_4_6_1_3__1_TotalAnnualDirectNitrousOxideEmissionsFromMMS(F195, _xlfn.XLOOKUP($E235, $D$138:$D$145,$E$138:$E$145), $I$217)</f>
        <v>1.5205387748571431E-5</v>
      </c>
      <c r="G235" s="15" cm="1">
        <f t="array" ref="G235">MMS_Poultry_N2ODirect_Equations.VEERG_4_6_1_3__1_TotalAnnualDirectNitrousOxideEmissionsFromMMS(G195, _xlfn.XLOOKUP($E235, $D$138:$D$145,$E$138:$E$145), $I$217)</f>
        <v>1.6230008406857142E-5</v>
      </c>
      <c r="H235" s="15" cm="1">
        <f t="array" ref="H235">MMS_Poultry_N2ODirect_Equations.VEERG_4_6_1_3__1_TotalAnnualDirectNitrousOxideEmissionsFromMMS(H195, _xlfn.XLOOKUP($E235, $D$138:$D$145,$E$138:$E$145), $I$217)</f>
        <v>1.9051616420571428E-5</v>
      </c>
      <c r="I235" s="15" cm="1">
        <f t="array" ref="I235">MMS_Poultry_N2ODirect_Equations.VEERG_4_6_1_3__1_TotalAnnualDirectNitrousOxideEmissionsFromMMS(I195, _xlfn.XLOOKUP($E235, $D$138:$D$145,$E$138:$E$145), $I$217)</f>
        <v>1.6230008406857142E-5</v>
      </c>
      <c r="J235" s="16"/>
      <c r="N235" s="15"/>
      <c r="O235" s="15" t="str">
        <f>INDEX(X_Table_Poultry_Stage2MMS_BeltManureRemoval,3,1)</f>
        <v>Composting (passive windrow)</v>
      </c>
      <c r="P235" s="15" cm="1">
        <f t="array" ref="P235">MMS_Poultry_N2ODirect_Equations.VEERG_4_6_1_3__1_TotalAnnualDirectNitrousOxideEmissionsFromMMS(P195, _xlfn.XLOOKUP($O235, $D$138:$D$145,$E$138:$E$145), $I$217)</f>
        <v>1.5205387748571431E-5</v>
      </c>
      <c r="Q235" s="15" cm="1">
        <f t="array" ref="Q235">MMS_Poultry_N2ODirect_Equations.VEERG_4_6_1_3__1_TotalAnnualDirectNitrousOxideEmissionsFromMMS(Q195, _xlfn.XLOOKUP($O235, $D$138:$D$145,$E$138:$E$145), $I$217)</f>
        <v>1.6230008406857142E-5</v>
      </c>
      <c r="R235" s="15" cm="1">
        <f t="array" ref="R235">MMS_Poultry_N2ODirect_Equations.VEERG_4_6_1_3__1_TotalAnnualDirectNitrousOxideEmissionsFromMMS(R195, _xlfn.XLOOKUP($O235, $D$138:$D$145,$E$138:$E$145), $I$217)</f>
        <v>1.9051616420571428E-5</v>
      </c>
      <c r="S235" s="15" cm="1">
        <f t="array" ref="S235">MMS_Poultry_N2ODirect_Equations.VEERG_4_6_1_3__1_TotalAnnualDirectNitrousOxideEmissionsFromMMS(S195, _xlfn.XLOOKUP($O235, $D$138:$D$145,$E$138:$E$145), $I$217)</f>
        <v>1.6230008406857142E-5</v>
      </c>
      <c r="T235" s="16"/>
    </row>
    <row r="236" spans="4:20" ht="20.100000000000001" customHeight="1" x14ac:dyDescent="0.2">
      <c r="D236" s="15"/>
      <c r="E236" s="15" t="str">
        <f>INDEX(X_Table_Poultry_Stage2MMS_BeltManureRemoval,4,1)</f>
        <v>Digester / covered lagoons</v>
      </c>
      <c r="F236" s="15" cm="1">
        <f t="array" ref="F236">MMS_Poultry_N2ODirect_Equations.VEERG_4_6_1_3__1_TotalAnnualDirectNitrousOxideEmissionsFromMMS(F196, _xlfn.XLOOKUP($E236, $D$138:$D$145,$E$138:$E$145), $I$217)</f>
        <v>0</v>
      </c>
      <c r="G236" s="15" cm="1">
        <f t="array" ref="G236">MMS_Poultry_N2ODirect_Equations.VEERG_4_6_1_3__1_TotalAnnualDirectNitrousOxideEmissionsFromMMS(G196, _xlfn.XLOOKUP($E236, $D$138:$D$145,$E$138:$E$145), $I$217)</f>
        <v>0</v>
      </c>
      <c r="H236" s="15" cm="1">
        <f t="array" ref="H236">MMS_Poultry_N2ODirect_Equations.VEERG_4_6_1_3__1_TotalAnnualDirectNitrousOxideEmissionsFromMMS(H196, _xlfn.XLOOKUP($E236, $D$138:$D$145,$E$138:$E$145), $I$217)</f>
        <v>0</v>
      </c>
      <c r="I236" s="15" cm="1">
        <f t="array" ref="I236">MMS_Poultry_N2ODirect_Equations.VEERG_4_6_1_3__1_TotalAnnualDirectNitrousOxideEmissionsFromMMS(I196, _xlfn.XLOOKUP($E236, $D$138:$D$145,$E$138:$E$145), $I$217)</f>
        <v>0</v>
      </c>
      <c r="J236" s="16"/>
      <c r="N236" s="15"/>
      <c r="O236" s="15" t="str">
        <f>INDEX(X_Table_Poultry_Stage2MMS_BeltManureRemoval,4,1)</f>
        <v>Digester / covered lagoons</v>
      </c>
      <c r="P236" s="15" cm="1">
        <f t="array" ref="P236">MMS_Poultry_N2ODirect_Equations.VEERG_4_6_1_3__1_TotalAnnualDirectNitrousOxideEmissionsFromMMS(P196, _xlfn.XLOOKUP($O236, $D$138:$D$145,$E$138:$E$145), $I$217)</f>
        <v>0</v>
      </c>
      <c r="Q236" s="15" cm="1">
        <f t="array" ref="Q236">MMS_Poultry_N2ODirect_Equations.VEERG_4_6_1_3__1_TotalAnnualDirectNitrousOxideEmissionsFromMMS(Q196, _xlfn.XLOOKUP($O236, $D$138:$D$145,$E$138:$E$145), $I$217)</f>
        <v>0</v>
      </c>
      <c r="R236" s="15" cm="1">
        <f t="array" ref="R236">MMS_Poultry_N2ODirect_Equations.VEERG_4_6_1_3__1_TotalAnnualDirectNitrousOxideEmissionsFromMMS(R196, _xlfn.XLOOKUP($O236, $D$138:$D$145,$E$138:$E$145), $I$217)</f>
        <v>0</v>
      </c>
      <c r="S236" s="15" cm="1">
        <f t="array" ref="S236">MMS_Poultry_N2ODirect_Equations.VEERG_4_6_1_3__1_TotalAnnualDirectNitrousOxideEmissionsFromMMS(S196, _xlfn.XLOOKUP($O236, $D$138:$D$145,$E$138:$E$145), $I$217)</f>
        <v>0</v>
      </c>
      <c r="T236" s="16"/>
    </row>
    <row r="237" spans="4:20" ht="20.100000000000001" customHeight="1" x14ac:dyDescent="0.2">
      <c r="D237" s="15"/>
      <c r="E237" s="15" t="str">
        <f>INDEX(X_Table_Poultry_Stage2MMS_BeltManureRemoval,5,1)</f>
        <v>Direct processing</v>
      </c>
      <c r="F237" s="15" cm="1">
        <f t="array" ref="F237">MMS_Poultry_N2ODirect_Equations.VEERG_4_6_1_3__1_TotalAnnualDirectNitrousOxideEmissionsFromMMS(F197, _xlfn.XLOOKUP($E237, $D$138:$D$145,$E$138:$E$145), $I$217)</f>
        <v>0</v>
      </c>
      <c r="G237" s="15" cm="1">
        <f t="array" ref="G237">MMS_Poultry_N2ODirect_Equations.VEERG_4_6_1_3__1_TotalAnnualDirectNitrousOxideEmissionsFromMMS(G197, _xlfn.XLOOKUP($E237, $D$138:$D$145,$E$138:$E$145), $I$217)</f>
        <v>0</v>
      </c>
      <c r="H237" s="15" cm="1">
        <f t="array" ref="H237">MMS_Poultry_N2ODirect_Equations.VEERG_4_6_1_3__1_TotalAnnualDirectNitrousOxideEmissionsFromMMS(H197, _xlfn.XLOOKUP($E237, $D$138:$D$145,$E$138:$E$145), $I$217)</f>
        <v>0</v>
      </c>
      <c r="I237" s="15" cm="1">
        <f t="array" ref="I237">MMS_Poultry_N2ODirect_Equations.VEERG_4_6_1_3__1_TotalAnnualDirectNitrousOxideEmissionsFromMMS(I197, _xlfn.XLOOKUP($E237, $D$138:$D$145,$E$138:$E$145), $I$217)</f>
        <v>0</v>
      </c>
      <c r="J237" s="16"/>
      <c r="N237" s="15"/>
      <c r="O237" s="15" t="str">
        <f>INDEX(X_Table_Poultry_Stage2MMS_BeltManureRemoval,5,1)</f>
        <v>Direct processing</v>
      </c>
      <c r="P237" s="15" cm="1">
        <f t="array" ref="P237">MMS_Poultry_N2ODirect_Equations.VEERG_4_6_1_3__1_TotalAnnualDirectNitrousOxideEmissionsFromMMS(P197, _xlfn.XLOOKUP($O237, $D$138:$D$145,$E$138:$E$145), $I$217)</f>
        <v>0</v>
      </c>
      <c r="Q237" s="15" cm="1">
        <f t="array" ref="Q237">MMS_Poultry_N2ODirect_Equations.VEERG_4_6_1_3__1_TotalAnnualDirectNitrousOxideEmissionsFromMMS(Q197, _xlfn.XLOOKUP($O237, $D$138:$D$145,$E$138:$E$145), $I$217)</f>
        <v>0</v>
      </c>
      <c r="R237" s="15" cm="1">
        <f t="array" ref="R237">MMS_Poultry_N2ODirect_Equations.VEERG_4_6_1_3__1_TotalAnnualDirectNitrousOxideEmissionsFromMMS(R197, _xlfn.XLOOKUP($O237, $D$138:$D$145,$E$138:$E$145), $I$217)</f>
        <v>0</v>
      </c>
      <c r="S237" s="15" cm="1">
        <f t="array" ref="S237">MMS_Poultry_N2ODirect_Equations.VEERG_4_6_1_3__1_TotalAnnualDirectNitrousOxideEmissionsFromMMS(S197, _xlfn.XLOOKUP($O237, $D$138:$D$145,$E$138:$E$145), $I$217)</f>
        <v>0</v>
      </c>
      <c r="T237" s="16"/>
    </row>
    <row r="238" spans="4:20" ht="20.100000000000001" customHeight="1" x14ac:dyDescent="0.2">
      <c r="D238" s="15"/>
      <c r="E238" s="15" t="str">
        <f>INDEX(X_Table_Poultry_Stage2MMS_BeltManureRemoval,6,1)</f>
        <v>Direct application</v>
      </c>
      <c r="F238" s="15" t="s">
        <v>124</v>
      </c>
      <c r="G238" s="15" t="s">
        <v>124</v>
      </c>
      <c r="H238" s="15" t="s">
        <v>124</v>
      </c>
      <c r="I238" s="15" t="s">
        <v>124</v>
      </c>
      <c r="N238" s="15"/>
      <c r="O238" s="15" t="str">
        <f>INDEX(X_Table_Poultry_Stage2MMS_BeltManureRemoval,6,1)</f>
        <v>Direct application</v>
      </c>
      <c r="P238" s="15" t="s">
        <v>124</v>
      </c>
      <c r="Q238" s="15" t="s">
        <v>124</v>
      </c>
      <c r="R238" s="15" t="s">
        <v>124</v>
      </c>
      <c r="S238" s="15" t="s">
        <v>124</v>
      </c>
    </row>
    <row r="239" spans="4:20" ht="20.100000000000001" customHeight="1" x14ac:dyDescent="0.2">
      <c r="D239" s="15" t="str">
        <f>INDEX(X_Table_Poultry_Stage1MMS,4,1)</f>
        <v>Manure stored in house</v>
      </c>
      <c r="E239" s="15" t="str">
        <f>INDEX(X_Table_Poultry_Stage2MMS_ManureStoredInHouse,2,1)</f>
        <v>Solid storage</v>
      </c>
      <c r="F239" s="15" cm="1">
        <f t="array" ref="F239">MMS_Poultry_N2ODirect_Equations.VEERG_4_6_1_3__1_TotalAnnualDirectNitrousOxideEmissionsFromMMS(F199, _xlfn.XLOOKUP($E239, $D$138:$D$145,$E$138:$E$145), $I$217)</f>
        <v>4.7987498742857158E-6</v>
      </c>
      <c r="G239" s="15" cm="1">
        <f t="array" ref="G239">MMS_Poultry_N2ODirect_Equations.VEERG_4_6_1_3__1_TotalAnnualDirectNitrousOxideEmissionsFromMMS(G199, _xlfn.XLOOKUP($E239, $D$138:$D$145,$E$138:$E$145), $I$217)</f>
        <v>5.1221154034285713E-6</v>
      </c>
      <c r="H239" s="15" cm="1">
        <f t="array" ref="H239">MMS_Poultry_N2ODirect_Equations.VEERG_4_6_1_3__1_TotalAnnualDirectNitrousOxideEmissionsFromMMS(H199, _xlfn.XLOOKUP($E239, $D$138:$D$145,$E$138:$E$145), $I$217)</f>
        <v>6.0126018102857129E-6</v>
      </c>
      <c r="I239" s="15" cm="1">
        <f t="array" ref="I239">MMS_Poultry_N2ODirect_Equations.VEERG_4_6_1_3__1_TotalAnnualDirectNitrousOxideEmissionsFromMMS(I199, _xlfn.XLOOKUP($E239, $D$138:$D$145,$E$138:$E$145), $I$217)</f>
        <v>5.1221154034285713E-6</v>
      </c>
      <c r="J239" s="16"/>
      <c r="N239" s="15" t="str">
        <f>INDEX(X_Table_Poultry_Stage1MMS,4,1)</f>
        <v>Manure stored in house</v>
      </c>
      <c r="O239" s="15" t="str">
        <f>INDEX(X_Table_Poultry_Stage2MMS_ManureStoredInHouse,2,1)</f>
        <v>Solid storage</v>
      </c>
      <c r="P239" s="15" cm="1">
        <f t="array" ref="P239">MMS_Poultry_N2ODirect_Equations.VEERG_4_6_1_3__1_TotalAnnualDirectNitrousOxideEmissionsFromMMS(P199, _xlfn.XLOOKUP($O239, $D$138:$D$145,$E$138:$E$145), $I$217)</f>
        <v>4.7987498742857158E-6</v>
      </c>
      <c r="Q239" s="15" cm="1">
        <f t="array" ref="Q239">MMS_Poultry_N2ODirect_Equations.VEERG_4_6_1_3__1_TotalAnnualDirectNitrousOxideEmissionsFromMMS(Q199, _xlfn.XLOOKUP($O239, $D$138:$D$145,$E$138:$E$145), $I$217)</f>
        <v>5.1221154034285713E-6</v>
      </c>
      <c r="R239" s="15" cm="1">
        <f t="array" ref="R239">MMS_Poultry_N2ODirect_Equations.VEERG_4_6_1_3__1_TotalAnnualDirectNitrousOxideEmissionsFromMMS(R199, _xlfn.XLOOKUP($O239, $D$138:$D$145,$E$138:$E$145), $I$217)</f>
        <v>6.0126018102857129E-6</v>
      </c>
      <c r="S239" s="15" cm="1">
        <f t="array" ref="S239">MMS_Poultry_N2ODirect_Equations.VEERG_4_6_1_3__1_TotalAnnualDirectNitrousOxideEmissionsFromMMS(S199, _xlfn.XLOOKUP($O239, $D$138:$D$145,$E$138:$E$145), $I$217)</f>
        <v>5.1221154034285713E-6</v>
      </c>
      <c r="T239" s="16"/>
    </row>
    <row r="240" spans="4:20" ht="20.100000000000001" customHeight="1" x14ac:dyDescent="0.2">
      <c r="D240" s="15"/>
      <c r="E240" s="15" t="str">
        <f>INDEX(X_Table_Poultry_Stage2MMS_ManureStoredInHouse,3,1)</f>
        <v>Composting (passive windrow)</v>
      </c>
      <c r="F240" s="15" cm="1">
        <f t="array" ref="F240">MMS_Poultry_N2ODirect_Equations.VEERG_4_6_1_3__1_TotalAnnualDirectNitrousOxideEmissionsFromMMS(F200, _xlfn.XLOOKUP($E240, $D$138:$D$145,$E$138:$E$145), $I$217)</f>
        <v>9.5974997485714317E-6</v>
      </c>
      <c r="G240" s="15" cm="1">
        <f t="array" ref="G240">MMS_Poultry_N2ODirect_Equations.VEERG_4_6_1_3__1_TotalAnnualDirectNitrousOxideEmissionsFromMMS(G200, _xlfn.XLOOKUP($E240, $D$138:$D$145,$E$138:$E$145), $I$217)</f>
        <v>1.0244230806857143E-5</v>
      </c>
      <c r="H240" s="15" cm="1">
        <f t="array" ref="H240">MMS_Poultry_N2ODirect_Equations.VEERG_4_6_1_3__1_TotalAnnualDirectNitrousOxideEmissionsFromMMS(H200, _xlfn.XLOOKUP($E240, $D$138:$D$145,$E$138:$E$145), $I$217)</f>
        <v>1.2025203620571426E-5</v>
      </c>
      <c r="I240" s="15" cm="1">
        <f t="array" ref="I240">MMS_Poultry_N2ODirect_Equations.VEERG_4_6_1_3__1_TotalAnnualDirectNitrousOxideEmissionsFromMMS(I200, _xlfn.XLOOKUP($E240, $D$138:$D$145,$E$138:$E$145), $I$217)</f>
        <v>1.0244230806857143E-5</v>
      </c>
      <c r="J240" s="16"/>
      <c r="N240" s="15"/>
      <c r="O240" s="15" t="str">
        <f>INDEX(X_Table_Poultry_Stage2MMS_ManureStoredInHouse,3,1)</f>
        <v>Composting (passive windrow)</v>
      </c>
      <c r="P240" s="15" cm="1">
        <f t="array" ref="P240">MMS_Poultry_N2ODirect_Equations.VEERG_4_6_1_3__1_TotalAnnualDirectNitrousOxideEmissionsFromMMS(P200, _xlfn.XLOOKUP($O240, $D$138:$D$145,$E$138:$E$145), $I$217)</f>
        <v>9.5974997485714317E-6</v>
      </c>
      <c r="Q240" s="15" cm="1">
        <f t="array" ref="Q240">MMS_Poultry_N2ODirect_Equations.VEERG_4_6_1_3__1_TotalAnnualDirectNitrousOxideEmissionsFromMMS(Q200, _xlfn.XLOOKUP($O240, $D$138:$D$145,$E$138:$E$145), $I$217)</f>
        <v>1.0244230806857143E-5</v>
      </c>
      <c r="R240" s="15" cm="1">
        <f t="array" ref="R240">MMS_Poultry_N2ODirect_Equations.VEERG_4_6_1_3__1_TotalAnnualDirectNitrousOxideEmissionsFromMMS(R200, _xlfn.XLOOKUP($O240, $D$138:$D$145,$E$138:$E$145), $I$217)</f>
        <v>1.2025203620571426E-5</v>
      </c>
      <c r="S240" s="15" cm="1">
        <f t="array" ref="S240">MMS_Poultry_N2ODirect_Equations.VEERG_4_6_1_3__1_TotalAnnualDirectNitrousOxideEmissionsFromMMS(S200, _xlfn.XLOOKUP($O240, $D$138:$D$145,$E$138:$E$145), $I$217)</f>
        <v>1.0244230806857143E-5</v>
      </c>
      <c r="T240" s="16"/>
    </row>
    <row r="241" spans="1:20" ht="20.100000000000001" customHeight="1" x14ac:dyDescent="0.2">
      <c r="D241" s="15"/>
      <c r="E241" s="15" t="str">
        <f>INDEX(X_Table_Poultry_Stage2MMS_ManureStoredInHouse,4,1)</f>
        <v>Digester / covered lagoons</v>
      </c>
      <c r="F241" s="15" cm="1">
        <f t="array" ref="F241">MMS_Poultry_N2ODirect_Equations.VEERG_4_6_1_3__1_TotalAnnualDirectNitrousOxideEmissionsFromMMS(F201, _xlfn.XLOOKUP($E241, $D$138:$D$145,$E$138:$E$145), $I$217)</f>
        <v>0</v>
      </c>
      <c r="G241" s="15" cm="1">
        <f t="array" ref="G241">MMS_Poultry_N2ODirect_Equations.VEERG_4_6_1_3__1_TotalAnnualDirectNitrousOxideEmissionsFromMMS(G201, _xlfn.XLOOKUP($E241, $D$138:$D$145,$E$138:$E$145), $I$217)</f>
        <v>0</v>
      </c>
      <c r="H241" s="15" cm="1">
        <f t="array" ref="H241">MMS_Poultry_N2ODirect_Equations.VEERG_4_6_1_3__1_TotalAnnualDirectNitrousOxideEmissionsFromMMS(H201, _xlfn.XLOOKUP($E241, $D$138:$D$145,$E$138:$E$145), $I$217)</f>
        <v>0</v>
      </c>
      <c r="I241" s="15" cm="1">
        <f t="array" ref="I241">MMS_Poultry_N2ODirect_Equations.VEERG_4_6_1_3__1_TotalAnnualDirectNitrousOxideEmissionsFromMMS(I201, _xlfn.XLOOKUP($E241, $D$138:$D$145,$E$138:$E$145), $I$217)</f>
        <v>0</v>
      </c>
      <c r="J241" s="16"/>
      <c r="N241" s="15"/>
      <c r="O241" s="15" t="str">
        <f>INDEX(X_Table_Poultry_Stage2MMS_ManureStoredInHouse,4,1)</f>
        <v>Digester / covered lagoons</v>
      </c>
      <c r="P241" s="15" cm="1">
        <f t="array" ref="P241">MMS_Poultry_N2ODirect_Equations.VEERG_4_6_1_3__1_TotalAnnualDirectNitrousOxideEmissionsFromMMS(P201, _xlfn.XLOOKUP($O241, $D$138:$D$145,$E$138:$E$145), $I$217)</f>
        <v>0</v>
      </c>
      <c r="Q241" s="15" cm="1">
        <f t="array" ref="Q241">MMS_Poultry_N2ODirect_Equations.VEERG_4_6_1_3__1_TotalAnnualDirectNitrousOxideEmissionsFromMMS(Q201, _xlfn.XLOOKUP($O241, $D$138:$D$145,$E$138:$E$145), $I$217)</f>
        <v>0</v>
      </c>
      <c r="R241" s="15" cm="1">
        <f t="array" ref="R241">MMS_Poultry_N2ODirect_Equations.VEERG_4_6_1_3__1_TotalAnnualDirectNitrousOxideEmissionsFromMMS(R201, _xlfn.XLOOKUP($O241, $D$138:$D$145,$E$138:$E$145), $I$217)</f>
        <v>0</v>
      </c>
      <c r="S241" s="15" cm="1">
        <f t="array" ref="S241">MMS_Poultry_N2ODirect_Equations.VEERG_4_6_1_3__1_TotalAnnualDirectNitrousOxideEmissionsFromMMS(S201, _xlfn.XLOOKUP($O241, $D$138:$D$145,$E$138:$E$145), $I$217)</f>
        <v>0</v>
      </c>
      <c r="T241" s="16"/>
    </row>
    <row r="242" spans="1:20" ht="20.100000000000001" customHeight="1" x14ac:dyDescent="0.2">
      <c r="D242" s="15"/>
      <c r="E242" s="15" t="str">
        <f>INDEX(X_Table_Poultry_Stage2MMS_ManureStoredInHouse,5,1)</f>
        <v>Direct processing</v>
      </c>
      <c r="F242" s="15" cm="1">
        <f t="array" ref="F242">MMS_Poultry_N2ODirect_Equations.VEERG_4_6_1_3__1_TotalAnnualDirectNitrousOxideEmissionsFromMMS(F202, _xlfn.XLOOKUP($E242, $D$138:$D$145,$E$138:$E$145), $I$217)</f>
        <v>0</v>
      </c>
      <c r="G242" s="15" cm="1">
        <f t="array" ref="G242">MMS_Poultry_N2ODirect_Equations.VEERG_4_6_1_3__1_TotalAnnualDirectNitrousOxideEmissionsFromMMS(G202, _xlfn.XLOOKUP($E242, $D$138:$D$145,$E$138:$E$145), $I$217)</f>
        <v>0</v>
      </c>
      <c r="H242" s="15" cm="1">
        <f t="array" ref="H242">MMS_Poultry_N2ODirect_Equations.VEERG_4_6_1_3__1_TotalAnnualDirectNitrousOxideEmissionsFromMMS(H202, _xlfn.XLOOKUP($E242, $D$138:$D$145,$E$138:$E$145), $I$217)</f>
        <v>0</v>
      </c>
      <c r="I242" s="15" cm="1">
        <f t="array" ref="I242">MMS_Poultry_N2ODirect_Equations.VEERG_4_6_1_3__1_TotalAnnualDirectNitrousOxideEmissionsFromMMS(I202, _xlfn.XLOOKUP($E242, $D$138:$D$145,$E$138:$E$145), $I$217)</f>
        <v>0</v>
      </c>
      <c r="J242" s="16"/>
      <c r="N242" s="15"/>
      <c r="O242" s="15" t="str">
        <f>INDEX(X_Table_Poultry_Stage2MMS_ManureStoredInHouse,5,1)</f>
        <v>Direct processing</v>
      </c>
      <c r="P242" s="15" cm="1">
        <f t="array" ref="P242">MMS_Poultry_N2ODirect_Equations.VEERG_4_6_1_3__1_TotalAnnualDirectNitrousOxideEmissionsFromMMS(P202, _xlfn.XLOOKUP($O242, $D$138:$D$145,$E$138:$E$145), $I$217)</f>
        <v>0</v>
      </c>
      <c r="Q242" s="15" cm="1">
        <f t="array" ref="Q242">MMS_Poultry_N2ODirect_Equations.VEERG_4_6_1_3__1_TotalAnnualDirectNitrousOxideEmissionsFromMMS(Q202, _xlfn.XLOOKUP($O242, $D$138:$D$145,$E$138:$E$145), $I$217)</f>
        <v>0</v>
      </c>
      <c r="R242" s="15" cm="1">
        <f t="array" ref="R242">MMS_Poultry_N2ODirect_Equations.VEERG_4_6_1_3__1_TotalAnnualDirectNitrousOxideEmissionsFromMMS(R202, _xlfn.XLOOKUP($O242, $D$138:$D$145,$E$138:$E$145), $I$217)</f>
        <v>0</v>
      </c>
      <c r="S242" s="15" cm="1">
        <f t="array" ref="S242">MMS_Poultry_N2ODirect_Equations.VEERG_4_6_1_3__1_TotalAnnualDirectNitrousOxideEmissionsFromMMS(S202, _xlfn.XLOOKUP($O242, $D$138:$D$145,$E$138:$E$145), $I$217)</f>
        <v>0</v>
      </c>
      <c r="T242" s="16"/>
    </row>
    <row r="243" spans="1:20" ht="20.100000000000001" customHeight="1" x14ac:dyDescent="0.2">
      <c r="D243" s="15"/>
      <c r="E243" s="15" t="str">
        <f>INDEX(X_Table_Poultry_Stage2MMS_ManureStoredInHouse,6,1)</f>
        <v>Direct application</v>
      </c>
      <c r="F243" s="15" t="s">
        <v>124</v>
      </c>
      <c r="G243" s="15" t="s">
        <v>124</v>
      </c>
      <c r="H243" s="15" t="s">
        <v>124</v>
      </c>
      <c r="I243" s="15" t="s">
        <v>124</v>
      </c>
      <c r="N243" s="15"/>
      <c r="O243" s="15" t="str">
        <f>INDEX(X_Table_Poultry_Stage2MMS_ManureStoredInHouse,6,1)</f>
        <v>Direct application</v>
      </c>
      <c r="P243" s="15" t="s">
        <v>124</v>
      </c>
      <c r="Q243" s="15" t="s">
        <v>124</v>
      </c>
      <c r="R243" s="15" t="s">
        <v>124</v>
      </c>
      <c r="S243" s="15" t="s">
        <v>124</v>
      </c>
    </row>
    <row r="245" spans="1:20" ht="20.100000000000001" customHeight="1" x14ac:dyDescent="0.2">
      <c r="D245" s="85" t="s">
        <v>421</v>
      </c>
      <c r="E245" s="86">
        <f>SUM(F225:I243)</f>
        <v>5.7674954756571411E-4</v>
      </c>
      <c r="F245" s="95" t="str">
        <f>$E$213</f>
        <v>t N2O</v>
      </c>
      <c r="N245" s="85" t="s">
        <v>421</v>
      </c>
      <c r="O245" s="86">
        <f>SUM(P225:S243)</f>
        <v>5.7674954756571411E-4</v>
      </c>
      <c r="P245" s="95" t="str">
        <f>$E$213</f>
        <v>t N2O</v>
      </c>
    </row>
    <row r="247" spans="1:20" ht="20.100000000000001" customHeight="1" x14ac:dyDescent="0.2">
      <c r="D247" s="126" t="str" cm="1">
        <f t="array" ref="D247:E248">Common_Equations.Common_ConvertN2OToCO2e_Arguments()</f>
        <v>EN2O</v>
      </c>
      <c r="E247" s="129" t="str">
        <v>Nitrous oxide emissions (t N2O)</v>
      </c>
      <c r="F247" s="130"/>
      <c r="G247" s="15">
        <f>VEERG_4_6_1_3__1_TotalAnnualDirectNitrousOxideEmissionsFromMMS_Result_Method1</f>
        <v>5.7674954756571411E-4</v>
      </c>
      <c r="N247" s="126" t="str" cm="1">
        <f t="array" ref="N247:O248">Common_Equations.Common_ConvertN2OToCO2e_Arguments()</f>
        <v>EN2O</v>
      </c>
      <c r="O247" s="129" t="str">
        <v>Nitrous oxide emissions (t N2O)</v>
      </c>
      <c r="P247" s="130"/>
      <c r="Q247" s="15">
        <f>VEERG_4_6_1_3__1_TotalAnnualDirectNitrousOxideEmissionsFromMMS_Result_Method2</f>
        <v>5.7674954756571411E-4</v>
      </c>
    </row>
    <row r="248" spans="1:20" ht="20.100000000000001" customHeight="1" x14ac:dyDescent="0.2">
      <c r="A248" s="79" t="str">
        <f>HYPERLINK("#A1", "▲ Back to top")</f>
        <v>▲ Back to top</v>
      </c>
      <c r="D248" s="126" t="str">
        <v>GWPN2O</v>
      </c>
      <c r="E248" s="129" t="str">
        <v>Global warming potential for nitrous oxide (t CO2-e / t N2O)</v>
      </c>
      <c r="F248" s="130"/>
      <c r="G248" s="15">
        <f>Common_InputFunctions.Utility_LookupValueInTableNumber("N2O", Table_GWPData[Gas],Table_GWPData[CO2-e factor])</f>
        <v>265</v>
      </c>
      <c r="N248" s="126" t="str">
        <v>GWPN2O</v>
      </c>
      <c r="O248" s="129" t="str">
        <v>Global warming potential for nitrous oxide (t CO2-e / t N2O)</v>
      </c>
      <c r="P248" s="130"/>
      <c r="Q248" s="15">
        <f>Common_InputFunctions.Utility_LookupValueInTableNumber("N2O", Table_GWPData[Gas],Table_GWPData[CO2-e factor])</f>
        <v>265</v>
      </c>
    </row>
    <row r="250" spans="1:20" ht="20.100000000000001" customHeight="1" x14ac:dyDescent="0.2">
      <c r="D250" s="83" t="s">
        <v>377</v>
      </c>
      <c r="E250" s="83" cm="1">
        <f t="array" ref="E250">Common_Equations.Common_ConvertN2OToCO2e(G247,G248)</f>
        <v>0.15283863010491425</v>
      </c>
      <c r="F250" s="89" t="str" cm="1">
        <f t="array" ref="F250">Common_Equations.Common_ConvertN2OToCO2e_Unit()</f>
        <v>t CO2e</v>
      </c>
      <c r="N250" s="83" t="s">
        <v>377</v>
      </c>
      <c r="O250" s="83" cm="1">
        <f t="array" ref="O250">Common_Equations.Common_ConvertN2OToCO2e(Q247,Q248)</f>
        <v>0.15283863010491425</v>
      </c>
      <c r="P250" s="89" t="str" cm="1">
        <f t="array" ref="P250">Common_Equations.Common_ConvertN2OToCO2e_Unit()</f>
        <v>t CO2e</v>
      </c>
    </row>
  </sheetData>
  <dataValidations count="1">
    <dataValidation operator="equal" allowBlank="1" showInputMessage="1" showErrorMessage="1" sqref="E18 O23 E33 J101 J106 F168:I168 U126 O85 U103 E23 O33 O18 E28 O28 E46 E51 O51 E56 O56 E70 E75 E80 O80 E85 O114 E114 O155 E155 I167:J167 F187:I187 I186:J186 P187:S187 S186:T186 O206 E206" xr:uid="{E082D459-AED1-4CAC-9193-AD35CDCB7AB7}"/>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2F5D2-DC2F-4F47-B44C-3DD1A2360759}">
  <sheetPr>
    <tabColor rgb="FF008000"/>
  </sheetPr>
  <dimension ref="A1:U101"/>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422</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MMS_Poultry_AtmosphericDeposition_Equations.VEERG_4_6_1_5__2_TotalNitrogenVolatilisedFromMMS_Title()</f>
        <v>Total nitrogen volatilised from manure management systems</v>
      </c>
    </row>
    <row r="6" spans="1:21" ht="20.100000000000001" customHeight="1" x14ac:dyDescent="0.2">
      <c r="D6" s="17" t="str" cm="1">
        <f t="array" ref="D6">MMS_Poultry_AtmosphericDeposition_Equations.VEERG_4_6_1_5__2_TotalNitrogenVolatilisedFromMMS_Source()</f>
        <v>VEERG 2026: 4.6.1.5, Equation (2)</v>
      </c>
    </row>
    <row r="7" spans="1:21" ht="20.100000000000001" customHeight="1" x14ac:dyDescent="0.2">
      <c r="D7" s="112" t="s">
        <v>328</v>
      </c>
      <c r="E7" s="112" t="str" cm="1">
        <f t="array" aca="1" ref="E7" ca="1">Common_InputFunctions.Utility_DisplayFunctionName(F57)</f>
        <v>=MMS_Poultry_AtmosphericDeposition_Equations.VEERG_4_6_1_5__2_TotalNitrogenVolatilisedFromMMS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MMS_Poultry_AtmosphericDeposition_Equations.VEERG_4_6_1_5__2_TotalNitrogenVolatilisedFromMMS_Variable()</f>
        <v>MMS_ATMOS</v>
      </c>
    </row>
    <row r="11" spans="1:21" ht="20.100000000000001" customHeight="1" x14ac:dyDescent="0.2">
      <c r="A11" s="5" t="str">
        <f>HYPERLINK("#'Input - Poultry'!A1", "Poultry")</f>
        <v>Poultry</v>
      </c>
      <c r="D11" s="75" t="s">
        <v>118</v>
      </c>
      <c r="E11" s="9" t="str" cm="1">
        <f t="array" ref="E11">MMS_Poultry_AtmosphericDeposition_Equations.VEERG_4_6_1_5__2_TotalNitrogenVolatilisedFromMMS_Unit()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14">_xlfn.CHOOSECOLS(MMS_Poultry_AtmosphericDeposition_Equations.VEERG_4_6_1_5__2_TotalNitrogenVolatilisedFromMMS_Arguments(),1,2)</f>
        <v>MN_jkmT</v>
      </c>
      <c r="E13" s="122" t="str">
        <v>nitrogen in each treatment stage MMS (excluding MN_jkm13T2)</v>
      </c>
      <c r="F13" s="123"/>
      <c r="G13" s="113" t="str" cm="1">
        <f t="array" ref="G13:H14">_xlfn.CHOOSECOLS(MMS_Poultry_AtmosphericDeposition_Equations.VEERG_4_6_1_5__2_TotalNitrogenVolatilisedFromMMS_Arguments(),3,4)</f>
        <v>kg N</v>
      </c>
      <c r="H13" s="115" t="str">
        <v>Calculated from 4.6.1.3 (2)(6)</v>
      </c>
      <c r="I13" s="116" t="str" cm="1">
        <f t="array" aca="1" ref="I13" ca="1">HYPERLINK(Common_InputFunctions.Utility_SourceHyperlink($D$19),$D$19)</f>
        <v>M1_Table_MN_j_k_m_T</v>
      </c>
    </row>
    <row r="14" spans="1:21" ht="20.100000000000001" customHeight="1" x14ac:dyDescent="0.2">
      <c r="A14" s="5" t="str">
        <f>HYPERLINK("#'Input - Fuel'!A1", "Fuel")</f>
        <v>Fuel</v>
      </c>
      <c r="D14" s="113" t="str">
        <v>FracGASM_mT</v>
      </c>
      <c r="E14" s="122" t="str">
        <v>fraction of N volatilised in each MMS</v>
      </c>
      <c r="F14" s="123"/>
      <c r="G14" s="113" t="str">
        <v>(kg NH3-N + NOx-N)/kg N</v>
      </c>
      <c r="H14" s="115" t="str">
        <v>Constant</v>
      </c>
      <c r="I14" s="116" t="str" cm="1">
        <f t="array" aca="1" ref="I14" ca="1">HYPERLINK(Common_InputFunctions.Utility_SourceHyperlink($D$42),$D$42)</f>
        <v>Table_FracGASM_m_T</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1" t="s">
        <v>423</v>
      </c>
      <c r="E16" s="43"/>
      <c r="F16" s="43"/>
      <c r="G16" s="44"/>
    </row>
    <row r="17" spans="1:20" ht="20.100000000000001" customHeight="1" x14ac:dyDescent="0.2">
      <c r="A17" s="5" t="str">
        <f>HYPERLINK("#'Input - Livestock farm Inputs'!A1", "Livestock farm Inputs")</f>
        <v>Livestock farm Inputs</v>
      </c>
      <c r="D17" s="45" t="s">
        <v>416</v>
      </c>
      <c r="E17" s="46"/>
      <c r="F17" s="46"/>
      <c r="G17" s="47"/>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118" t="s">
        <v>424</v>
      </c>
      <c r="N19" s="118" t="s">
        <v>425</v>
      </c>
    </row>
    <row r="20" spans="1:20" ht="20.100000000000001" customHeight="1" x14ac:dyDescent="0.2">
      <c r="A20" s="5" t="str">
        <f>HYPERLINK("#'Input - Manure sent off-site'!A1", "Manure sent off-site")</f>
        <v>Manure sent off-site</v>
      </c>
      <c r="D20" s="119" t="s">
        <v>426</v>
      </c>
      <c r="N20" s="119" t="s">
        <v>427</v>
      </c>
    </row>
    <row r="21" spans="1:20" ht="20.100000000000001" customHeight="1" x14ac:dyDescent="0.2">
      <c r="A21" s="5" t="str">
        <f>HYPERLINK("#'Input - Data quality'!A1", "Data quality")</f>
        <v>Data quality</v>
      </c>
      <c r="D21" s="120" t="s">
        <v>314</v>
      </c>
      <c r="E21" s="120" t="s">
        <v>318</v>
      </c>
      <c r="F21" s="120" t="s">
        <v>297</v>
      </c>
      <c r="G21" s="120" t="s">
        <v>298</v>
      </c>
      <c r="H21" s="120" t="s">
        <v>299</v>
      </c>
      <c r="I21" s="120" t="s">
        <v>300</v>
      </c>
      <c r="N21" s="120" t="s">
        <v>314</v>
      </c>
      <c r="O21" s="120" t="s">
        <v>318</v>
      </c>
      <c r="P21" s="120" t="s">
        <v>297</v>
      </c>
      <c r="Q21" s="120" t="s">
        <v>298</v>
      </c>
      <c r="R21" s="120" t="s">
        <v>299</v>
      </c>
      <c r="S21" s="120" t="s">
        <v>300</v>
      </c>
    </row>
    <row r="22" spans="1:20" ht="20.100000000000001" customHeight="1" x14ac:dyDescent="0.2">
      <c r="A22" s="5" t="str">
        <f>HYPERLINK("#'Input - Fert Prod System'!A1", "Fert Prod System")</f>
        <v>Fert Prod System</v>
      </c>
      <c r="D22" s="15" t="str">
        <f>INDEX(X_Table_Poultry_Stage1MMS,2,1)</f>
        <v>Poultry manure with bedding</v>
      </c>
      <c r="E22" s="15" t="s">
        <v>124</v>
      </c>
      <c r="F22" s="15">
        <f>INDEX(M1_Table_MN_j_k_m_T1,2,2)</f>
        <v>5.0980800000000013</v>
      </c>
      <c r="G22" s="15">
        <f>INDEX(M1_Table_MN_j_k_m_T1,2,3)</f>
        <v>5.4416159999999998</v>
      </c>
      <c r="H22" s="15">
        <f>INDEX(M1_Table_MN_j_k_m_T1,2,4)</f>
        <v>6.3876479999999995</v>
      </c>
      <c r="I22" s="15">
        <f>INDEX(M1_Table_MN_j_k_m_T1,2,5)</f>
        <v>5.4416159999999998</v>
      </c>
      <c r="J22" s="16" t="str">
        <f>$G$13</f>
        <v>kg N</v>
      </c>
      <c r="N22" s="15" t="str">
        <f>INDEX(X_Table_Poultry_Stage1MMS,2,1)</f>
        <v>Poultry manure with bedding</v>
      </c>
      <c r="O22" s="15" t="s">
        <v>124</v>
      </c>
      <c r="P22" s="15">
        <f>INDEX(M2_Table_MN_j_k_m_T1,2,2)</f>
        <v>5.0980800000000013</v>
      </c>
      <c r="Q22" s="15">
        <f>INDEX(M2_Table_MN_j_k_m_T1,2,3)</f>
        <v>5.4416159999999998</v>
      </c>
      <c r="R22" s="15">
        <f>INDEX(M2_Table_MN_j_k_m_T1,2,4)</f>
        <v>6.3876479999999995</v>
      </c>
      <c r="S22" s="15">
        <f>INDEX(M2_Table_MN_j_k_m_T1,2,5)</f>
        <v>5.4416159999999998</v>
      </c>
      <c r="T22" s="16" t="str">
        <f>$G$13</f>
        <v>kg N</v>
      </c>
    </row>
    <row r="23" spans="1:20" ht="20.100000000000001" customHeight="1" x14ac:dyDescent="0.2">
      <c r="A23" s="5" t="str">
        <f>HYPERLINK("#'Input - Fertiliser'!A1", "Fertiliser")</f>
        <v>Fertiliser</v>
      </c>
      <c r="D23" s="15" t="str">
        <f>INDEX(X_Table_Poultry_Stage1MMS,3,1)</f>
        <v>Belt manure removal</v>
      </c>
      <c r="E23" s="15" t="s">
        <v>124</v>
      </c>
      <c r="F23" s="15">
        <f>INDEX(M1_Table_MN_j_k_m_T1,3,2)</f>
        <v>5.0980800000000013</v>
      </c>
      <c r="G23" s="15">
        <f>INDEX(M1_Table_MN_j_k_m_T1,3,3)</f>
        <v>5.4416159999999998</v>
      </c>
      <c r="H23" s="15">
        <f>INDEX(M1_Table_MN_j_k_m_T1,3,4)</f>
        <v>6.3876479999999995</v>
      </c>
      <c r="I23" s="15">
        <f>INDEX(M1_Table_MN_j_k_m_T1,3,5)</f>
        <v>5.4416159999999998</v>
      </c>
      <c r="J23" s="16"/>
      <c r="N23" s="15" t="str">
        <f>INDEX(X_Table_Poultry_Stage1MMS,3,1)</f>
        <v>Belt manure removal</v>
      </c>
      <c r="O23" s="15" t="s">
        <v>124</v>
      </c>
      <c r="P23" s="15">
        <f>INDEX(M2_Table_MN_j_k_m_T1,3,2)</f>
        <v>5.0980800000000013</v>
      </c>
      <c r="Q23" s="15">
        <f>INDEX(M2_Table_MN_j_k_m_T1,3,3)</f>
        <v>5.4416159999999998</v>
      </c>
      <c r="R23" s="15">
        <f>INDEX(M2_Table_MN_j_k_m_T1,3,4)</f>
        <v>6.3876479999999995</v>
      </c>
      <c r="S23" s="15">
        <f>INDEX(M2_Table_MN_j_k_m_T1,3,5)</f>
        <v>5.4416159999999998</v>
      </c>
      <c r="T23" s="16"/>
    </row>
    <row r="24" spans="1:20" ht="20.100000000000001" customHeight="1" x14ac:dyDescent="0.2">
      <c r="D24" s="15" t="str">
        <f>INDEX(X_Table_Poultry_Stage1MMS,4,1)</f>
        <v>Manure stored in house</v>
      </c>
      <c r="E24" s="15" t="s">
        <v>124</v>
      </c>
      <c r="F24" s="15">
        <f>INDEX(M1_Table_MN_j_k_m_T1,4,2)</f>
        <v>5.0980800000000013</v>
      </c>
      <c r="G24" s="15">
        <f>INDEX(M1_Table_MN_j_k_m_T1,4,3)</f>
        <v>5.4416159999999998</v>
      </c>
      <c r="H24" s="15">
        <f>INDEX(M1_Table_MN_j_k_m_T1,4,4)</f>
        <v>6.3876479999999995</v>
      </c>
      <c r="I24" s="15">
        <f>INDEX(M1_Table_MN_j_k_m_T1,4,5)</f>
        <v>5.4416159999999998</v>
      </c>
      <c r="J24" s="16"/>
      <c r="N24" s="15" t="str">
        <f>INDEX(X_Table_Poultry_Stage1MMS,4,1)</f>
        <v>Manure stored in house</v>
      </c>
      <c r="O24" s="15" t="s">
        <v>124</v>
      </c>
      <c r="P24" s="15">
        <f>INDEX(M2_Table_MN_j_k_m_T1,4,2)</f>
        <v>5.0980800000000013</v>
      </c>
      <c r="Q24" s="15">
        <f>INDEX(M2_Table_MN_j_k_m_T1,4,3)</f>
        <v>5.4416159999999998</v>
      </c>
      <c r="R24" s="15">
        <f>INDEX(M2_Table_MN_j_k_m_T1,4,4)</f>
        <v>6.3876479999999995</v>
      </c>
      <c r="S24" s="15">
        <f>INDEX(M2_Table_MN_j_k_m_T1,4,5)</f>
        <v>5.4416159999999998</v>
      </c>
      <c r="T24" s="16"/>
    </row>
    <row r="25" spans="1:20" ht="20.100000000000001" customHeight="1" x14ac:dyDescent="0.2">
      <c r="D25" s="15" t="str">
        <f>INDEX(X_Table_Poultry_Stage1MMS,5,1)</f>
        <v>Pasture range and paddock</v>
      </c>
      <c r="E25" s="15" t="s">
        <v>124</v>
      </c>
      <c r="F25" s="15">
        <f>INDEX(M1_Table_MN_j_k_m_T1,5,2)</f>
        <v>1.6993600000000004</v>
      </c>
      <c r="G25" s="15">
        <f>INDEX(M1_Table_MN_j_k_m_T1,5,3)</f>
        <v>1.8138719999999999</v>
      </c>
      <c r="H25" s="15">
        <f>INDEX(M1_Table_MN_j_k_m_T1,5,4)</f>
        <v>2.129216</v>
      </c>
      <c r="I25" s="15">
        <f>INDEX(M1_Table_MN_j_k_m_T1,5,5)</f>
        <v>1.8138719999999999</v>
      </c>
      <c r="J25" s="16"/>
      <c r="N25" s="15" t="str">
        <f>INDEX(X_Table_Poultry_Stage1MMS,5,1)</f>
        <v>Pasture range and paddock</v>
      </c>
      <c r="O25" s="15" t="s">
        <v>124</v>
      </c>
      <c r="P25" s="15">
        <f>INDEX(M2_Table_MN_j_k_m_T1,5,2)</f>
        <v>1.6993600000000004</v>
      </c>
      <c r="Q25" s="15">
        <f>INDEX(M2_Table_MN_j_k_m_T1,5,3)</f>
        <v>1.8138719999999999</v>
      </c>
      <c r="R25" s="15">
        <f>INDEX(M2_Table_MN_j_k_m_T1,5,4)</f>
        <v>2.129216</v>
      </c>
      <c r="S25" s="15">
        <f>INDEX(M2_Table_MN_j_k_m_T1,5,5)</f>
        <v>1.8138719999999999</v>
      </c>
      <c r="T25" s="16"/>
    </row>
    <row r="26" spans="1:20" ht="20.100000000000001" customHeight="1" x14ac:dyDescent="0.2">
      <c r="A26" s="6" t="s">
        <v>2</v>
      </c>
      <c r="D26" s="15" t="str">
        <f>INDEX(X_Table_Poultry_Stage1MMS,2,1)</f>
        <v>Poultry manure with bedding</v>
      </c>
      <c r="E26" s="15" t="str">
        <f>INDEX(X_Table_Poultry_Stage2MMS_PoultryManureWithBedding,2,1)</f>
        <v>Solid storage</v>
      </c>
      <c r="F26" s="15">
        <f>INDEX(M1_Table_MN_j_k_m_T2,2,3)</f>
        <v>0.71271158400000012</v>
      </c>
      <c r="G26" s="15">
        <f>INDEX(M1_Table_MN_j_k_m_T2,2,4)</f>
        <v>0.76073791680000002</v>
      </c>
      <c r="H26" s="15">
        <f>INDEX(M1_Table_MN_j_k_m_T2,2,5)</f>
        <v>0.89299319039999991</v>
      </c>
      <c r="I26" s="15">
        <f>INDEX(M1_Table_MN_j_k_m_T2,2,6)</f>
        <v>0.76073791680000002</v>
      </c>
      <c r="J26" s="16"/>
      <c r="N26" s="15" t="str">
        <f>INDEX(X_Table_Poultry_Stage1MMS,2,1)</f>
        <v>Poultry manure with bedding</v>
      </c>
      <c r="O26" s="15" t="str">
        <f>INDEX(X_Table_Poultry_Stage2MMS_PoultryManureWithBedding,2,1)</f>
        <v>Solid storage</v>
      </c>
      <c r="P26" s="15">
        <f>INDEX(M2_Table_MN_j_k_m_T2,2,3)</f>
        <v>0.71271158400000012</v>
      </c>
      <c r="Q26" s="15">
        <f>INDEX(M2_Table_MN_j_k_m_T2,2,4)</f>
        <v>0.76073791680000002</v>
      </c>
      <c r="R26" s="15">
        <f>INDEX(M2_Table_MN_j_k_m_T2,2,5)</f>
        <v>0.89299319039999991</v>
      </c>
      <c r="S26" s="15">
        <f>INDEX(M2_Table_MN_j_k_m_T2,2,6)</f>
        <v>0.76073791680000002</v>
      </c>
      <c r="T26" s="16"/>
    </row>
    <row r="27" spans="1:20" ht="20.100000000000001" customHeight="1" x14ac:dyDescent="0.2">
      <c r="A27" s="5" t="str">
        <f>HYPERLINK("#'4.6.1.1-2 Methane'!A1", "4.6.1.1-2 Manure Methane")</f>
        <v>4.6.1.1-2 Manure Methane</v>
      </c>
      <c r="D27" s="15"/>
      <c r="E27" s="15" t="str">
        <f>INDEX(X_Table_Poultry_Stage2MMS_PoultryManureWithBedding,3,1)</f>
        <v>Composting (passive windrow)</v>
      </c>
      <c r="F27" s="15">
        <f>'4.6.1.3-4 Direct N20'!F190</f>
        <v>0.71271158400000012</v>
      </c>
      <c r="G27" s="15">
        <f>'4.6.1.3-4 Direct N20'!G190</f>
        <v>0.76073791680000002</v>
      </c>
      <c r="H27" s="15">
        <f>'4.6.1.3-4 Direct N20'!H190</f>
        <v>0.89299319039999991</v>
      </c>
      <c r="I27" s="15">
        <f>'4.6.1.3-4 Direct N20'!I190</f>
        <v>0.76073791680000002</v>
      </c>
      <c r="J27" s="16"/>
      <c r="N27" s="15"/>
      <c r="O27" s="15" t="str">
        <f>INDEX(X_Table_Poultry_Stage2MMS_PoultryManureWithBedding,3,1)</f>
        <v>Composting (passive windrow)</v>
      </c>
      <c r="P27" s="15">
        <f>'4.6.1.3-4 Direct N20'!P190</f>
        <v>0.71271158400000012</v>
      </c>
      <c r="Q27" s="15">
        <f>'4.6.1.3-4 Direct N20'!Q190</f>
        <v>0.76073791680000002</v>
      </c>
      <c r="R27" s="15">
        <f>'4.6.1.3-4 Direct N20'!R190</f>
        <v>0.89299319039999991</v>
      </c>
      <c r="S27" s="15">
        <f>'4.6.1.3-4 Direct N20'!S190</f>
        <v>0.76073791680000002</v>
      </c>
      <c r="T27" s="16"/>
    </row>
    <row r="28" spans="1:20" ht="20.100000000000001" customHeight="1" x14ac:dyDescent="0.2">
      <c r="A28" s="5" t="str">
        <f>HYPERLINK("#'4.6.1.3-4 Direct N20'!A1", "4.6.1.3-4 Manure Direct N2O")</f>
        <v>4.6.1.3-4 Manure Direct N2O</v>
      </c>
      <c r="D28" s="15"/>
      <c r="E28" s="15" t="str">
        <f>INDEX(X_Table_Poultry_Stage2MMS_PoultryManureWithBedding,4,1)</f>
        <v>Digester / covered lagoons</v>
      </c>
      <c r="F28" s="15">
        <f>'4.6.1.3-4 Direct N20'!F191</f>
        <v>0.71271158400000012</v>
      </c>
      <c r="G28" s="15">
        <f>'4.6.1.3-4 Direct N20'!G191</f>
        <v>0.76073791680000002</v>
      </c>
      <c r="H28" s="15">
        <f>'4.6.1.3-4 Direct N20'!H191</f>
        <v>0.89299319039999991</v>
      </c>
      <c r="I28" s="15">
        <f>'4.6.1.3-4 Direct N20'!I191</f>
        <v>0.76073791680000002</v>
      </c>
      <c r="J28" s="16"/>
      <c r="N28" s="15"/>
      <c r="O28" s="15" t="str">
        <f>INDEX(X_Table_Poultry_Stage2MMS_PoultryManureWithBedding,4,1)</f>
        <v>Digester / covered lagoons</v>
      </c>
      <c r="P28" s="15">
        <f>'4.6.1.3-4 Direct N20'!P191</f>
        <v>0.71271158400000012</v>
      </c>
      <c r="Q28" s="15">
        <f>'4.6.1.3-4 Direct N20'!Q191</f>
        <v>0.76073791680000002</v>
      </c>
      <c r="R28" s="15">
        <f>'4.6.1.3-4 Direct N20'!R191</f>
        <v>0.89299319039999991</v>
      </c>
      <c r="S28" s="15">
        <f>'4.6.1.3-4 Direct N20'!S191</f>
        <v>0.76073791680000002</v>
      </c>
      <c r="T28" s="16"/>
    </row>
    <row r="29" spans="1:20" ht="20.100000000000001" customHeight="1" x14ac:dyDescent="0.2">
      <c r="A29" s="117" t="str">
        <f>HYPERLINK("#'4.6.1.5-6 Atmos Dep'!A1", "4.6.1.5-6 Manure Atmos Dep")</f>
        <v>4.6.1.5-6 Manure Atmos Dep</v>
      </c>
      <c r="D29" s="15"/>
      <c r="E29" s="15" t="str">
        <f>INDEX(X_Table_Poultry_Stage2MMS_PoultryManureWithBedding,5,1)</f>
        <v>Direct processing</v>
      </c>
      <c r="F29" s="15">
        <f>'4.6.1.3-4 Direct N20'!F192</f>
        <v>0.71271158400000012</v>
      </c>
      <c r="G29" s="15">
        <f>'4.6.1.3-4 Direct N20'!G192</f>
        <v>0.76073791680000002</v>
      </c>
      <c r="H29" s="15">
        <f>'4.6.1.3-4 Direct N20'!H192</f>
        <v>0.89299319039999991</v>
      </c>
      <c r="I29" s="15">
        <f>'4.6.1.3-4 Direct N20'!I192</f>
        <v>0.76073791680000002</v>
      </c>
      <c r="J29" s="16"/>
      <c r="N29" s="15"/>
      <c r="O29" s="15" t="str">
        <f>INDEX(X_Table_Poultry_Stage2MMS_PoultryManureWithBedding,5,1)</f>
        <v>Direct processing</v>
      </c>
      <c r="P29" s="15">
        <f>'4.6.1.3-4 Direct N20'!P192</f>
        <v>0.71271158400000012</v>
      </c>
      <c r="Q29" s="15">
        <f>'4.6.1.3-4 Direct N20'!Q192</f>
        <v>0.76073791680000002</v>
      </c>
      <c r="R29" s="15">
        <f>'4.6.1.3-4 Direct N20'!R192</f>
        <v>0.89299319039999991</v>
      </c>
      <c r="S29" s="15">
        <f>'4.6.1.3-4 Direct N20'!S192</f>
        <v>0.76073791680000002</v>
      </c>
      <c r="T29" s="16"/>
    </row>
    <row r="30" spans="1:20" ht="20.100000000000001" customHeight="1" x14ac:dyDescent="0.2">
      <c r="A30" s="5" t="str">
        <f>HYPERLINK("#'4.6.1.7-8 Leaching and runoff'!A1", "4.6.1.7-8 Manure Leaching and runoff")</f>
        <v>4.6.1.7-8 Manure Leaching and runoff</v>
      </c>
      <c r="D30" s="15"/>
      <c r="E30" s="15" t="str">
        <f>INDEX(X_Table_Poultry_Stage2MMS_PoultryManureWithBedding,6,1)</f>
        <v>Direct application</v>
      </c>
      <c r="F30" s="15">
        <f>'4.6.1.3-4 Direct N20'!F193</f>
        <v>0.7127115839999999</v>
      </c>
      <c r="G30" s="15">
        <f>'4.6.1.3-4 Direct N20'!G193</f>
        <v>0.7607379167999998</v>
      </c>
      <c r="H30" s="15">
        <f>'4.6.1.3-4 Direct N20'!H193</f>
        <v>0.89299319039999958</v>
      </c>
      <c r="I30" s="15">
        <f>'4.6.1.3-4 Direct N20'!I193</f>
        <v>0.7607379167999998</v>
      </c>
      <c r="N30" s="15"/>
      <c r="O30" s="15" t="str">
        <f>INDEX(X_Table_Poultry_Stage2MMS_PoultryManureWithBedding,6,1)</f>
        <v>Direct application</v>
      </c>
      <c r="P30" s="15">
        <f>'4.6.1.3-4 Direct N20'!P193</f>
        <v>0.7127115839999999</v>
      </c>
      <c r="Q30" s="15">
        <f>'4.6.1.3-4 Direct N20'!Q193</f>
        <v>0.7607379167999998</v>
      </c>
      <c r="R30" s="15">
        <f>'4.6.1.3-4 Direct N20'!R193</f>
        <v>0.89299319039999958</v>
      </c>
      <c r="S30" s="15">
        <f>'4.6.1.3-4 Direct N20'!S193</f>
        <v>0.7607379167999998</v>
      </c>
    </row>
    <row r="31" spans="1:20" ht="20.100000000000001" customHeight="1" x14ac:dyDescent="0.2">
      <c r="A31" s="5" t="str">
        <f>HYPERLINK("#'4.6.1.9 Manure applied to soils'!A1", "4.6.1.9 Manure applied to soils")</f>
        <v>4.6.1.9 Manure applied to soils</v>
      </c>
      <c r="D31" s="15" t="str">
        <f>INDEX(X_Table_Poultry_Stage1MMS,3,1)</f>
        <v>Belt manure removal</v>
      </c>
      <c r="E31" s="15" t="str">
        <f>INDEX(X_Table_Poultry_Stage2MMS_BeltManureRemoval,2,1)</f>
        <v>Solid storage</v>
      </c>
      <c r="F31" s="15">
        <f>'4.6.1.3-4 Direct N20'!F194</f>
        <v>0.96761558400000025</v>
      </c>
      <c r="G31" s="15">
        <f>'4.6.1.3-4 Direct N20'!G194</f>
        <v>1.0328187168</v>
      </c>
      <c r="H31" s="15">
        <f>'4.6.1.3-4 Direct N20'!H194</f>
        <v>1.2123755904</v>
      </c>
      <c r="I31" s="15">
        <f>'4.6.1.3-4 Direct N20'!I194</f>
        <v>1.0328187168</v>
      </c>
      <c r="J31" s="16"/>
      <c r="N31" s="15" t="str">
        <f>INDEX(X_Table_Poultry_Stage1MMS,3,1)</f>
        <v>Belt manure removal</v>
      </c>
      <c r="O31" s="15" t="str">
        <f>INDEX(X_Table_Poultry_Stage2MMS_BeltManureRemoval,2,1)</f>
        <v>Solid storage</v>
      </c>
      <c r="P31" s="15">
        <f>'4.6.1.3-4 Direct N20'!P194</f>
        <v>0.96761558400000025</v>
      </c>
      <c r="Q31" s="15">
        <f>'4.6.1.3-4 Direct N20'!Q194</f>
        <v>1.0328187168</v>
      </c>
      <c r="R31" s="15">
        <f>'4.6.1.3-4 Direct N20'!R194</f>
        <v>1.2123755904</v>
      </c>
      <c r="S31" s="15">
        <f>'4.6.1.3-4 Direct N20'!S194</f>
        <v>1.0328187168</v>
      </c>
      <c r="T31" s="16"/>
    </row>
    <row r="32" spans="1:20" ht="20.100000000000001" customHeight="1" x14ac:dyDescent="0.2">
      <c r="A32" s="5" t="str">
        <f>HYPERLINK("#'4.6.1.10-11 Soil direct N2O'!A1", "4.6.1.10-11 Soil direct N2O")</f>
        <v>4.6.1.10-11 Soil direct N2O</v>
      </c>
      <c r="D32" s="15"/>
      <c r="E32" s="15" t="str">
        <f>INDEX(X_Table_Poultry_Stage2MMS_BeltManureRemoval,3,1)</f>
        <v>Composting (passive windrow)</v>
      </c>
      <c r="F32" s="15">
        <f>'4.6.1.3-4 Direct N20'!F195</f>
        <v>0.96761558400000025</v>
      </c>
      <c r="G32" s="15">
        <f>'4.6.1.3-4 Direct N20'!G195</f>
        <v>1.0328187168</v>
      </c>
      <c r="H32" s="15">
        <f>'4.6.1.3-4 Direct N20'!H195</f>
        <v>1.2123755904</v>
      </c>
      <c r="I32" s="15">
        <f>'4.6.1.3-4 Direct N20'!I195</f>
        <v>1.0328187168</v>
      </c>
      <c r="J32" s="16"/>
      <c r="N32" s="15"/>
      <c r="O32" s="15" t="str">
        <f>INDEX(X_Table_Poultry_Stage2MMS_BeltManureRemoval,3,1)</f>
        <v>Composting (passive windrow)</v>
      </c>
      <c r="P32" s="15">
        <f>'4.6.1.3-4 Direct N20'!P195</f>
        <v>0.96761558400000025</v>
      </c>
      <c r="Q32" s="15">
        <f>'4.6.1.3-4 Direct N20'!Q195</f>
        <v>1.0328187168</v>
      </c>
      <c r="R32" s="15">
        <f>'4.6.1.3-4 Direct N20'!R195</f>
        <v>1.2123755904</v>
      </c>
      <c r="S32" s="15">
        <f>'4.6.1.3-4 Direct N20'!S195</f>
        <v>1.0328187168</v>
      </c>
      <c r="T32" s="16"/>
    </row>
    <row r="33" spans="1:20" ht="20.100000000000001" customHeight="1" x14ac:dyDescent="0.2">
      <c r="A33" s="5" t="str">
        <f>HYPERLINK("#'4.6.1.12-13 Soil atmos dep'!A1", "4.6.1.12-13 Soil atmos dep")</f>
        <v>4.6.1.12-13 Soil atmos dep</v>
      </c>
      <c r="D33" s="15"/>
      <c r="E33" s="15" t="str">
        <f>INDEX(X_Table_Poultry_Stage2MMS_BeltManureRemoval,4,1)</f>
        <v>Digester / covered lagoons</v>
      </c>
      <c r="F33" s="15">
        <f>'4.6.1.3-4 Direct N20'!F196</f>
        <v>0.96761558400000025</v>
      </c>
      <c r="G33" s="15">
        <f>'4.6.1.3-4 Direct N20'!G196</f>
        <v>1.0328187168</v>
      </c>
      <c r="H33" s="15">
        <f>'4.6.1.3-4 Direct N20'!H196</f>
        <v>1.2123755904</v>
      </c>
      <c r="I33" s="15">
        <f>'4.6.1.3-4 Direct N20'!I196</f>
        <v>1.0328187168</v>
      </c>
      <c r="J33" s="16"/>
      <c r="N33" s="15"/>
      <c r="O33" s="15" t="str">
        <f>INDEX(X_Table_Poultry_Stage2MMS_BeltManureRemoval,4,1)</f>
        <v>Digester / covered lagoons</v>
      </c>
      <c r="P33" s="15">
        <f>'4.6.1.3-4 Direct N20'!P196</f>
        <v>0.96761558400000025</v>
      </c>
      <c r="Q33" s="15">
        <f>'4.6.1.3-4 Direct N20'!Q196</f>
        <v>1.0328187168</v>
      </c>
      <c r="R33" s="15">
        <f>'4.6.1.3-4 Direct N20'!R196</f>
        <v>1.2123755904</v>
      </c>
      <c r="S33" s="15">
        <f>'4.6.1.3-4 Direct N20'!S196</f>
        <v>1.0328187168</v>
      </c>
      <c r="T33" s="16"/>
    </row>
    <row r="34" spans="1:20" ht="20.100000000000001" customHeight="1" x14ac:dyDescent="0.2">
      <c r="A34" s="5" t="str">
        <f>HYPERLINK("#'4.6.1.14-15 Soil leach runoff'!A1", "4.6.1.14-15 Soil leach runoff")</f>
        <v>4.6.1.14-15 Soil leach runoff</v>
      </c>
      <c r="D34" s="15"/>
      <c r="E34" s="15" t="str">
        <f>INDEX(X_Table_Poultry_Stage2MMS_BeltManureRemoval,5,1)</f>
        <v>Direct processing</v>
      </c>
      <c r="F34" s="15">
        <f>'4.6.1.3-4 Direct N20'!F197</f>
        <v>0.96761558400000025</v>
      </c>
      <c r="G34" s="15">
        <f>'4.6.1.3-4 Direct N20'!G197</f>
        <v>1.0328187168</v>
      </c>
      <c r="H34" s="15">
        <f>'4.6.1.3-4 Direct N20'!H197</f>
        <v>1.2123755904</v>
      </c>
      <c r="I34" s="15">
        <f>'4.6.1.3-4 Direct N20'!I197</f>
        <v>1.0328187168</v>
      </c>
      <c r="J34" s="16"/>
      <c r="N34" s="15"/>
      <c r="O34" s="15" t="str">
        <f>INDEX(X_Table_Poultry_Stage2MMS_BeltManureRemoval,5,1)</f>
        <v>Direct processing</v>
      </c>
      <c r="P34" s="15">
        <f>'4.6.1.3-4 Direct N20'!P197</f>
        <v>0.96761558400000025</v>
      </c>
      <c r="Q34" s="15">
        <f>'4.6.1.3-4 Direct N20'!Q197</f>
        <v>1.0328187168</v>
      </c>
      <c r="R34" s="15">
        <f>'4.6.1.3-4 Direct N20'!R197</f>
        <v>1.2123755904</v>
      </c>
      <c r="S34" s="15">
        <f>'4.6.1.3-4 Direct N20'!S197</f>
        <v>1.0328187168</v>
      </c>
      <c r="T34" s="16"/>
    </row>
    <row r="35" spans="1:20" ht="20.100000000000001" customHeight="1" x14ac:dyDescent="0.2">
      <c r="A35" s="5" t="str">
        <f>HYPERLINK("#'8.1.1.1-2 Transport fuel'!A1", "8.1.1.1-2 Transport fuel")</f>
        <v>8.1.1.1-2 Transport fuel</v>
      </c>
      <c r="D35" s="15"/>
      <c r="E35" s="15" t="str">
        <f>INDEX(X_Table_Poultry_Stage2MMS_BeltManureRemoval,6,1)</f>
        <v>Direct application</v>
      </c>
      <c r="F35" s="15">
        <f>'4.6.1.3-4 Direct N20'!F198</f>
        <v>0.96761558399999992</v>
      </c>
      <c r="G35" s="15">
        <f>'4.6.1.3-4 Direct N20'!G198</f>
        <v>1.0328187167999998</v>
      </c>
      <c r="H35" s="15">
        <f>'4.6.1.3-4 Direct N20'!H198</f>
        <v>1.2123755903999998</v>
      </c>
      <c r="I35" s="15">
        <f>'4.6.1.3-4 Direct N20'!I198</f>
        <v>1.0328187167999998</v>
      </c>
      <c r="N35" s="15"/>
      <c r="O35" s="15" t="str">
        <f>INDEX(X_Table_Poultry_Stage2MMS_BeltManureRemoval,6,1)</f>
        <v>Direct application</v>
      </c>
      <c r="P35" s="15">
        <f>'4.6.1.3-4 Direct N20'!P198</f>
        <v>0.96761558399999992</v>
      </c>
      <c r="Q35" s="15">
        <f>'4.6.1.3-4 Direct N20'!Q198</f>
        <v>1.0328187167999998</v>
      </c>
      <c r="R35" s="15">
        <f>'4.6.1.3-4 Direct N20'!R198</f>
        <v>1.2123755903999998</v>
      </c>
      <c r="S35" s="15">
        <f>'4.6.1.3-4 Direct N20'!S198</f>
        <v>1.0328187167999998</v>
      </c>
    </row>
    <row r="36" spans="1:20" ht="20.100000000000001" customHeight="1" x14ac:dyDescent="0.2">
      <c r="A36" s="5" t="str">
        <f>HYPERLINK("#'8.2.1.1-2 Stationary fuel'!A1", "8.2.1.1-2 Stationary fuel")</f>
        <v>8.2.1.1-2 Stationary fuel</v>
      </c>
      <c r="D36" s="15" t="str">
        <f>INDEX(X_Table_Poultry_Stage1MMS,4,1)</f>
        <v>Manure stored in house</v>
      </c>
      <c r="E36" s="15" t="str">
        <f>INDEX(X_Table_Poultry_Stage2MMS_ManureStoredInHouse,2,1)</f>
        <v>Solid storage</v>
      </c>
      <c r="F36" s="15">
        <f>'4.6.1.3-4 Direct N20'!F199</f>
        <v>0.61074998400000013</v>
      </c>
      <c r="G36" s="15">
        <f>'4.6.1.3-4 Direct N20'!G199</f>
        <v>0.65190559679999993</v>
      </c>
      <c r="H36" s="15">
        <f>'4.6.1.3-4 Direct N20'!H199</f>
        <v>0.76524023039999989</v>
      </c>
      <c r="I36" s="15">
        <f>'4.6.1.3-4 Direct N20'!I199</f>
        <v>0.65190559679999993</v>
      </c>
      <c r="J36" s="16"/>
      <c r="N36" s="15" t="str">
        <f>INDEX(X_Table_Poultry_Stage1MMS,4,1)</f>
        <v>Manure stored in house</v>
      </c>
      <c r="O36" s="15" t="str">
        <f>INDEX(X_Table_Poultry_Stage2MMS_ManureStoredInHouse,2,1)</f>
        <v>Solid storage</v>
      </c>
      <c r="P36" s="15">
        <f>'4.6.1.3-4 Direct N20'!P199</f>
        <v>0.61074998400000013</v>
      </c>
      <c r="Q36" s="15">
        <f>'4.6.1.3-4 Direct N20'!Q199</f>
        <v>0.65190559679999993</v>
      </c>
      <c r="R36" s="15">
        <f>'4.6.1.3-4 Direct N20'!R199</f>
        <v>0.76524023039999989</v>
      </c>
      <c r="S36" s="15">
        <f>'4.6.1.3-4 Direct N20'!S199</f>
        <v>0.65190559679999993</v>
      </c>
      <c r="T36" s="16"/>
    </row>
    <row r="37" spans="1:20" ht="20.100000000000001" customHeight="1" x14ac:dyDescent="0.2">
      <c r="A37" s="5" t="str">
        <f>HYPERLINK("#'10.1.1-2 Solid waste treatment'!A1", "10.1.1.1-2 Solid waste")</f>
        <v>10.1.1.1-2 Solid waste</v>
      </c>
      <c r="D37" s="15"/>
      <c r="E37" s="15" t="str">
        <f>INDEX(X_Table_Poultry_Stage2MMS_ManureStoredInHouse,3,1)</f>
        <v>Composting (passive windrow)</v>
      </c>
      <c r="F37" s="15">
        <f>'4.6.1.3-4 Direct N20'!F200</f>
        <v>0.61074998400000013</v>
      </c>
      <c r="G37" s="15">
        <f>'4.6.1.3-4 Direct N20'!G200</f>
        <v>0.65190559679999993</v>
      </c>
      <c r="H37" s="15">
        <f>'4.6.1.3-4 Direct N20'!H200</f>
        <v>0.76524023039999989</v>
      </c>
      <c r="I37" s="15">
        <f>'4.6.1.3-4 Direct N20'!I200</f>
        <v>0.65190559679999993</v>
      </c>
      <c r="J37" s="16"/>
      <c r="N37" s="15"/>
      <c r="O37" s="15" t="str">
        <f>INDEX(X_Table_Poultry_Stage2MMS_ManureStoredInHouse,3,1)</f>
        <v>Composting (passive windrow)</v>
      </c>
      <c r="P37" s="15">
        <f>'4.6.1.3-4 Direct N20'!P200</f>
        <v>0.61074998400000013</v>
      </c>
      <c r="Q37" s="15">
        <f>'4.6.1.3-4 Direct N20'!Q200</f>
        <v>0.65190559679999993</v>
      </c>
      <c r="R37" s="15">
        <f>'4.6.1.3-4 Direct N20'!R200</f>
        <v>0.76524023039999989</v>
      </c>
      <c r="S37" s="15">
        <f>'4.6.1.3-4 Direct N20'!S200</f>
        <v>0.65190559679999993</v>
      </c>
      <c r="T37" s="16"/>
    </row>
    <row r="38" spans="1:20" ht="20.100000000000001" customHeight="1" x14ac:dyDescent="0.2">
      <c r="A38" s="5" t="str">
        <f>HYPERLINK("#'14.1.1-2 Purchased electricity'!A1", "14.1.1-2 Purchased electricity")</f>
        <v>14.1.1-2 Purchased electricity</v>
      </c>
      <c r="D38" s="15"/>
      <c r="E38" s="15" t="str">
        <f>INDEX(X_Table_Poultry_Stage2MMS_ManureStoredInHouse,4,1)</f>
        <v>Digester / covered lagoons</v>
      </c>
      <c r="F38" s="15">
        <f>'4.6.1.3-4 Direct N20'!F201</f>
        <v>0.61074998400000013</v>
      </c>
      <c r="G38" s="15">
        <f>'4.6.1.3-4 Direct N20'!G201</f>
        <v>0.65190559679999993</v>
      </c>
      <c r="H38" s="15">
        <f>'4.6.1.3-4 Direct N20'!H201</f>
        <v>0.76524023039999989</v>
      </c>
      <c r="I38" s="15">
        <f>'4.6.1.3-4 Direct N20'!I201</f>
        <v>0.65190559679999993</v>
      </c>
      <c r="J38" s="16"/>
      <c r="N38" s="15"/>
      <c r="O38" s="15" t="str">
        <f>INDEX(X_Table_Poultry_Stage2MMS_ManureStoredInHouse,4,1)</f>
        <v>Digester / covered lagoons</v>
      </c>
      <c r="P38" s="15">
        <f>'4.6.1.3-4 Direct N20'!P201</f>
        <v>0.61074998400000013</v>
      </c>
      <c r="Q38" s="15">
        <f>'4.6.1.3-4 Direct N20'!Q201</f>
        <v>0.65190559679999993</v>
      </c>
      <c r="R38" s="15">
        <f>'4.6.1.3-4 Direct N20'!R201</f>
        <v>0.76524023039999989</v>
      </c>
      <c r="S38" s="15">
        <f>'4.6.1.3-4 Direct N20'!S201</f>
        <v>0.65190559679999993</v>
      </c>
      <c r="T38" s="16"/>
    </row>
    <row r="39" spans="1:20" ht="20.100000000000001" customHeight="1" x14ac:dyDescent="0.2">
      <c r="A39" s="5" t="str">
        <f>HYPERLINK("#'15 Scope 3'!A1", "15 Scope 3")</f>
        <v>15 Scope 3</v>
      </c>
      <c r="D39" s="15"/>
      <c r="E39" s="15" t="str">
        <f>INDEX(X_Table_Poultry_Stage2MMS_ManureStoredInHouse,5,1)</f>
        <v>Direct processing</v>
      </c>
      <c r="F39" s="15">
        <f>'4.6.1.3-4 Direct N20'!F202</f>
        <v>0.61074998400000013</v>
      </c>
      <c r="G39" s="15">
        <f>'4.6.1.3-4 Direct N20'!G202</f>
        <v>0.65190559679999993</v>
      </c>
      <c r="H39" s="15">
        <f>'4.6.1.3-4 Direct N20'!H202</f>
        <v>0.76524023039999989</v>
      </c>
      <c r="I39" s="15">
        <f>'4.6.1.3-4 Direct N20'!I202</f>
        <v>0.65190559679999993</v>
      </c>
      <c r="J39" s="16"/>
      <c r="N39" s="15"/>
      <c r="O39" s="15" t="str">
        <f>INDEX(X_Table_Poultry_Stage2MMS_ManureStoredInHouse,5,1)</f>
        <v>Direct processing</v>
      </c>
      <c r="P39" s="15">
        <f>'4.6.1.3-4 Direct N20'!P202</f>
        <v>0.61074998400000013</v>
      </c>
      <c r="Q39" s="15">
        <f>'4.6.1.3-4 Direct N20'!Q202</f>
        <v>0.65190559679999993</v>
      </c>
      <c r="R39" s="15">
        <f>'4.6.1.3-4 Direct N20'!R202</f>
        <v>0.76524023039999989</v>
      </c>
      <c r="S39" s="15">
        <f>'4.6.1.3-4 Direct N20'!S202</f>
        <v>0.65190559679999993</v>
      </c>
      <c r="T39" s="16"/>
    </row>
    <row r="40" spans="1:20" ht="20.100000000000001" customHeight="1" x14ac:dyDescent="0.2">
      <c r="A40" s="5" t="str">
        <f>HYPERLINK("#'Calcs - Manure sent off-site'!A1", "Calcs - Manure sent off-site")</f>
        <v>Calcs - Manure sent off-site</v>
      </c>
      <c r="D40" s="15"/>
      <c r="E40" s="15" t="str">
        <f>INDEX(X_Table_Poultry_Stage2MMS_ManureStoredInHouse,6,1)</f>
        <v>Direct application</v>
      </c>
      <c r="F40" s="15">
        <f>'4.6.1.3-4 Direct N20'!F203</f>
        <v>0.61074998399999991</v>
      </c>
      <c r="G40" s="15">
        <f>'4.6.1.3-4 Direct N20'!G203</f>
        <v>0.65190559679999971</v>
      </c>
      <c r="H40" s="15">
        <f>'4.6.1.3-4 Direct N20'!H203</f>
        <v>0.76524023039999967</v>
      </c>
      <c r="I40" s="15">
        <f>'4.6.1.3-4 Direct N20'!I203</f>
        <v>0.65190559679999971</v>
      </c>
      <c r="N40" s="15"/>
      <c r="O40" s="15" t="str">
        <f>INDEX(X_Table_Poultry_Stage2MMS_ManureStoredInHouse,6,1)</f>
        <v>Direct application</v>
      </c>
      <c r="P40" s="15">
        <f>'4.6.1.3-4 Direct N20'!P203</f>
        <v>0.61074998399999991</v>
      </c>
      <c r="Q40" s="15">
        <f>'4.6.1.3-4 Direct N20'!Q203</f>
        <v>0.65190559679999971</v>
      </c>
      <c r="R40" s="15">
        <f>'4.6.1.3-4 Direct N20'!R203</f>
        <v>0.76524023039999967</v>
      </c>
      <c r="S40" s="15">
        <f>'4.6.1.3-4 Direct N20'!S203</f>
        <v>0.65190559679999971</v>
      </c>
    </row>
    <row r="41" spans="1:20" ht="20.100000000000001" customHeight="1" x14ac:dyDescent="0.2">
      <c r="A41" s="5" t="str">
        <f>HYPERLINK("#'5.1.1.1-2 Inorganic fert N2O'!A1", "5.1.1.1-2 Inorganic fert N2O")</f>
        <v>5.1.1.1-2 Inorganic fert N2O</v>
      </c>
    </row>
    <row r="42" spans="1:20" ht="20.100000000000001" customHeight="1" x14ac:dyDescent="0.2">
      <c r="A42" s="5" t="str">
        <f>HYPERLINK("#'5.1.1.3-4 Inorganic fert CO2'!A1", "5.1.1.3-4 Inorganic fert CO2")</f>
        <v>5.1.1.3-4 Inorganic fert CO2</v>
      </c>
      <c r="D42" s="118" t="s">
        <v>428</v>
      </c>
    </row>
    <row r="43" spans="1:20" ht="20.100000000000001" customHeight="1" x14ac:dyDescent="0.2">
      <c r="A43" s="5" t="str">
        <f>HYPERLINK("#'5.2.1.1-2 Organic Fert N2O'!A1", "5.2.1.1-2 Organic Fert N2O")</f>
        <v>5.2.1.1-2 Organic Fert N2O</v>
      </c>
      <c r="D43" s="119" t="s">
        <v>429</v>
      </c>
    </row>
    <row r="44" spans="1:20" ht="20.100000000000001" customHeight="1" x14ac:dyDescent="0.2">
      <c r="A44" s="5" t="str">
        <f>HYPERLINK("#'5.3.1.1-2 Lime CO2'!A1", "5.3.1.1-2 Lime CO2")</f>
        <v>5.3.1.1-2 Lime CO2</v>
      </c>
      <c r="D44" s="120" t="s">
        <v>314</v>
      </c>
      <c r="E44" s="120" t="s">
        <v>403</v>
      </c>
    </row>
    <row r="45" spans="1:20" ht="20.100000000000001" customHeight="1" x14ac:dyDescent="0.2">
      <c r="A45" s="5" t="str">
        <f>HYPERLINK("#'5.4.1.1-4 Atmos deposition'!A1", "5.4.1.1-4 Atmos deposition")</f>
        <v>5.4.1.1-4 Atmos deposition</v>
      </c>
      <c r="D45" s="15" t="str">
        <f>'Constants - Poultry'!$D$29</f>
        <v>Poultry manure with bedding</v>
      </c>
      <c r="E45" s="15" cm="1">
        <f t="array" ref="E45">Common_InputFunctions.Utility_LookupValueInTableNumber(D45, Table_SourceData_Poultry_FracGASM[NIR reference],Table_SourceData_Poultry_FracGASM[FracGASMmT])</f>
        <v>0.3</v>
      </c>
      <c r="F45" s="16" t="str">
        <f>$G$14</f>
        <v>(kg NH3-N + NOx-N)/kg N</v>
      </c>
    </row>
    <row r="46" spans="1:20" ht="20.100000000000001" customHeight="1" x14ac:dyDescent="0.2">
      <c r="A46" s="5" t="str">
        <f>HYPERLINK("#'5.5.1.1-2 Leaching and runoff'!A1", "5.5.1.1-2 Leaching and runoff")</f>
        <v>5.5.1.1-2 Leaching and runoff</v>
      </c>
      <c r="D46" s="15" t="str">
        <f>'Constants - Poultry'!$D$30</f>
        <v>Belt manure removal</v>
      </c>
      <c r="E46" s="15" cm="1">
        <f t="array" ref="E46">Common_InputFunctions.Utility_LookupValueInTableNumber(D46, Table_SourceData_Poultry_FracGASM[NIR reference],Table_SourceData_Poultry_FracGASM[FracGASMmT])</f>
        <v>0.05</v>
      </c>
    </row>
    <row r="47" spans="1:20" ht="20.100000000000001" customHeight="1" x14ac:dyDescent="0.2">
      <c r="D47" s="15" t="str">
        <f>'Constants - Poultry'!$D$31</f>
        <v>Manure stored in house</v>
      </c>
      <c r="E47" s="15" cm="1">
        <f t="array" ref="E47">Common_InputFunctions.Utility_LookupValueInTableNumber(D47, Table_SourceData_Poultry_FracGASM[NIR reference],Table_SourceData_Poultry_FracGASM[FracGASMmT])</f>
        <v>0.4</v>
      </c>
    </row>
    <row r="48" spans="1:20" ht="20.100000000000001" customHeight="1" x14ac:dyDescent="0.2">
      <c r="D48" s="15" t="str">
        <f>'Constants - Poultry'!$D$32</f>
        <v>Pasture range and paddock</v>
      </c>
      <c r="E48" s="15" cm="1">
        <f t="array" ref="E48">Common_InputFunctions.Utility_LookupValueInTableNumber(D48, Table_SourceData_Poultry_FracGASM[NIR reference],Table_SourceData_Poultry_FracGASM[FracGASMmT])</f>
        <v>0</v>
      </c>
    </row>
    <row r="49" spans="1:20" ht="20.100000000000001" customHeight="1" x14ac:dyDescent="0.2">
      <c r="A49" s="80" t="s">
        <v>1</v>
      </c>
      <c r="D49" s="15" t="str">
        <f>'Constants - Poultry'!$D$33</f>
        <v>Solid storage</v>
      </c>
      <c r="E49" s="15" cm="1">
        <f t="array" ref="E49">Common_InputFunctions.Utility_LookupValueInTableNumber(D49, Table_SourceData_Poultry_FracGASM[NIR reference],Table_SourceData_Poultry_FracGASM[FracGASMmT])</f>
        <v>0.2</v>
      </c>
    </row>
    <row r="50" spans="1:20" ht="20.100000000000001" customHeight="1" x14ac:dyDescent="0.2">
      <c r="A50" s="5" t="str">
        <f>HYPERLINK("#'Constants - Poultry'!A1", "Constants - Poultry")</f>
        <v>Constants - Poultry</v>
      </c>
      <c r="D50" s="15" t="str">
        <f>'Constants - Poultry'!$D$34</f>
        <v>Composting (passive windrow)</v>
      </c>
      <c r="E50" s="15" cm="1">
        <f t="array" ref="E50">Common_InputFunctions.Utility_LookupValueInTableNumber(D50, Table_SourceData_Poultry_FracGASM[NIR reference],Table_SourceData_Poultry_FracGASM[FracGASMmT])</f>
        <v>0.2</v>
      </c>
    </row>
    <row r="51" spans="1:20" ht="20.100000000000001" customHeight="1" x14ac:dyDescent="0.2">
      <c r="A51" s="5" t="str">
        <f>HYPERLINK("#'Constants - Common livestock'!A1", "Constants - Common Livestock")</f>
        <v>Constants - Common Livestock</v>
      </c>
      <c r="D51" s="15" t="str">
        <f>'Constants - Poultry'!$D$35</f>
        <v>Digester / covered lagoons</v>
      </c>
      <c r="E51" s="15" cm="1">
        <f t="array" ref="E51">Common_InputFunctions.Utility_LookupValueInTableNumber(D51, Table_SourceData_Poultry_FracGASM[NIR reference],Table_SourceData_Poultry_FracGASM[FracGASMmT])</f>
        <v>0</v>
      </c>
    </row>
    <row r="52" spans="1:20" ht="20.100000000000001" customHeight="1" x14ac:dyDescent="0.2">
      <c r="A52" s="5" t="str">
        <f>HYPERLINK("#'Constants - Electricity'!A1", "Constants - Electricity")</f>
        <v>Constants - Electricity</v>
      </c>
      <c r="D52" s="15" t="str">
        <f>'Constants - Poultry'!$D$36</f>
        <v>Direct processing</v>
      </c>
      <c r="E52" s="15" cm="1">
        <f t="array" ref="E52">Common_InputFunctions.Utility_LookupValueInTableNumber(D52, Table_SourceData_Poultry_FracGASM[NIR reference],Table_SourceData_Poultry_FracGASM[FracGASMmT])</f>
        <v>0</v>
      </c>
    </row>
    <row r="53" spans="1:20" ht="20.100000000000001" customHeight="1" x14ac:dyDescent="0.2">
      <c r="A53" s="5" t="str">
        <f>HYPERLINK("#'Constants - Fertiliser'!A1", "Constants - Fertiliser")</f>
        <v>Constants - Fertiliser</v>
      </c>
    </row>
    <row r="54" spans="1:20" ht="20.100000000000001" customHeight="1" x14ac:dyDescent="0.2">
      <c r="A54" s="5" t="str">
        <f>HYPERLINK("#'Constants - Fuel'!A1", "Constants - Fuel")</f>
        <v>Constants - Fuel</v>
      </c>
      <c r="D54" s="118" t="s">
        <v>430</v>
      </c>
      <c r="N54" s="118" t="s">
        <v>431</v>
      </c>
    </row>
    <row r="55" spans="1:20" ht="20.100000000000001" customHeight="1" x14ac:dyDescent="0.2">
      <c r="A55" s="5" t="str">
        <f>HYPERLINK("#'Constants - Scope 3'!A1", "Constants - Scope 3")</f>
        <v>Constants - Scope 3</v>
      </c>
      <c r="D55" s="119" t="s">
        <v>432</v>
      </c>
      <c r="N55" s="119" t="s">
        <v>433</v>
      </c>
    </row>
    <row r="56" spans="1:20" ht="20.100000000000001" customHeight="1" x14ac:dyDescent="0.2">
      <c r="A56" s="5" t="str">
        <f>HYPERLINK("#'Constants - Solid Waste'!A1", "Constants - Solid Waste")</f>
        <v>Constants - Solid Waste</v>
      </c>
      <c r="D56" s="120" t="s">
        <v>314</v>
      </c>
      <c r="E56" s="120" t="s">
        <v>318</v>
      </c>
      <c r="F56" s="120" t="s">
        <v>297</v>
      </c>
      <c r="G56" s="120" t="s">
        <v>298</v>
      </c>
      <c r="H56" s="120" t="s">
        <v>299</v>
      </c>
      <c r="I56" s="120" t="s">
        <v>300</v>
      </c>
      <c r="N56" s="120" t="s">
        <v>314</v>
      </c>
      <c r="O56" s="120" t="s">
        <v>318</v>
      </c>
      <c r="P56" s="120" t="s">
        <v>297</v>
      </c>
      <c r="Q56" s="120" t="s">
        <v>298</v>
      </c>
      <c r="R56" s="120" t="s">
        <v>299</v>
      </c>
      <c r="S56" s="120" t="s">
        <v>300</v>
      </c>
    </row>
    <row r="57" spans="1:20" ht="20.100000000000001" customHeight="1" x14ac:dyDescent="0.2">
      <c r="A57" s="5" t="str">
        <f>HYPERLINK("#'Constants - Common'!A1", "Constants - Common")</f>
        <v>Constants - Common</v>
      </c>
      <c r="D57" s="15" t="str">
        <f>INDEX(X_Table_Poultry_Stage1MMS,2,1)</f>
        <v>Poultry manure with bedding</v>
      </c>
      <c r="E57" s="15" t="s">
        <v>124</v>
      </c>
      <c r="F57" s="15" cm="1">
        <f t="array" ref="F57">MMS_Poultry_AtmosphericDeposition_Equations.VEERG_4_6_1_5__2_TotalNitrogenVolatilisedFromMMS(F22, _xlfn.XLOOKUP($D57, $D$45:$D$52, $E$45:$E$52))</f>
        <v>1.5294240000000003</v>
      </c>
      <c r="G57" s="15" cm="1">
        <f t="array" ref="G57">MMS_Poultry_AtmosphericDeposition_Equations.VEERG_4_6_1_5__2_TotalNitrogenVolatilisedFromMMS(G22, _xlfn.XLOOKUP($D57, $D$45:$D$52, $E$45:$E$52))</f>
        <v>1.6324847999999998</v>
      </c>
      <c r="H57" s="15" cm="1">
        <f t="array" ref="H57">MMS_Poultry_AtmosphericDeposition_Equations.VEERG_4_6_1_5__2_TotalNitrogenVolatilisedFromMMS(H22, _xlfn.XLOOKUP($D57, $D$45:$D$52, $E$45:$E$52))</f>
        <v>1.9162943999999997</v>
      </c>
      <c r="I57" s="15" cm="1">
        <f t="array" ref="I57">MMS_Poultry_AtmosphericDeposition_Equations.VEERG_4_6_1_5__2_TotalNitrogenVolatilisedFromMMS(I22, _xlfn.XLOOKUP($D57, $D$45:$D$52, $E$45:$E$52))</f>
        <v>1.6324847999999998</v>
      </c>
      <c r="J57" s="16" t="str">
        <f>$E$11</f>
        <v>kg N</v>
      </c>
      <c r="N57" s="15" t="str">
        <f>INDEX(X_Table_Poultry_Stage1MMS,2,1)</f>
        <v>Poultry manure with bedding</v>
      </c>
      <c r="O57" s="15" t="s">
        <v>124</v>
      </c>
      <c r="P57" s="15" cm="1">
        <f t="array" ref="P57">MMS_Poultry_AtmosphericDeposition_Equations.VEERG_4_6_1_5__2_TotalNitrogenVolatilisedFromMMS(P22, _xlfn.XLOOKUP($N57, $D$45:$D$52, $E$45:$E$52))</f>
        <v>1.5294240000000003</v>
      </c>
      <c r="Q57" s="15" cm="1">
        <f t="array" ref="Q57">MMS_Poultry_AtmosphericDeposition_Equations.VEERG_4_6_1_5__2_TotalNitrogenVolatilisedFromMMS(Q22, _xlfn.XLOOKUP($N57, $D$45:$D$52, $E$45:$E$52))</f>
        <v>1.6324847999999998</v>
      </c>
      <c r="R57" s="15" cm="1">
        <f t="array" ref="R57">MMS_Poultry_AtmosphericDeposition_Equations.VEERG_4_6_1_5__2_TotalNitrogenVolatilisedFromMMS(R22, _xlfn.XLOOKUP($N57, $D$45:$D$52, $E$45:$E$52))</f>
        <v>1.9162943999999997</v>
      </c>
      <c r="S57" s="15" cm="1">
        <f t="array" ref="S57">MMS_Poultry_AtmosphericDeposition_Equations.VEERG_4_6_1_5__2_TotalNitrogenVolatilisedFromMMS(S22, _xlfn.XLOOKUP($N57, $D$45:$D$52, $E$45:$E$52))</f>
        <v>1.6324847999999998</v>
      </c>
      <c r="T57" s="16" t="str">
        <f>$E$11</f>
        <v>kg N</v>
      </c>
    </row>
    <row r="58" spans="1:20" ht="20.100000000000001" customHeight="1" x14ac:dyDescent="0.2">
      <c r="D58" s="15" t="str">
        <f>INDEX(X_Table_Poultry_Stage1MMS,3,1)</f>
        <v>Belt manure removal</v>
      </c>
      <c r="E58" s="15" t="s">
        <v>124</v>
      </c>
      <c r="F58" s="15" cm="1">
        <f t="array" ref="F58">MMS_Poultry_AtmosphericDeposition_Equations.VEERG_4_6_1_5__2_TotalNitrogenVolatilisedFromMMS(F23, _xlfn.XLOOKUP($D58, $D$45:$D$52, $E$45:$E$52))</f>
        <v>0.25490400000000007</v>
      </c>
      <c r="G58" s="15" cm="1">
        <f t="array" ref="G58">MMS_Poultry_AtmosphericDeposition_Equations.VEERG_4_6_1_5__2_TotalNitrogenVolatilisedFromMMS(G23, _xlfn.XLOOKUP($D58, $D$45:$D$52, $E$45:$E$52))</f>
        <v>0.27208080000000001</v>
      </c>
      <c r="H58" s="15" cm="1">
        <f t="array" ref="H58">MMS_Poultry_AtmosphericDeposition_Equations.VEERG_4_6_1_5__2_TotalNitrogenVolatilisedFromMMS(H23, _xlfn.XLOOKUP($D58, $D$45:$D$52, $E$45:$E$52))</f>
        <v>0.31938240000000001</v>
      </c>
      <c r="I58" s="15" cm="1">
        <f t="array" ref="I58">MMS_Poultry_AtmosphericDeposition_Equations.VEERG_4_6_1_5__2_TotalNitrogenVolatilisedFromMMS(I23, _xlfn.XLOOKUP($D58, $D$45:$D$52, $E$45:$E$52))</f>
        <v>0.27208080000000001</v>
      </c>
      <c r="J58" s="16"/>
      <c r="N58" s="15" t="str">
        <f>INDEX(X_Table_Poultry_Stage1MMS,3,1)</f>
        <v>Belt manure removal</v>
      </c>
      <c r="O58" s="15" t="s">
        <v>124</v>
      </c>
      <c r="P58" s="15" cm="1">
        <f t="array" ref="P58">MMS_Poultry_AtmosphericDeposition_Equations.VEERG_4_6_1_5__2_TotalNitrogenVolatilisedFromMMS(P23, _xlfn.XLOOKUP($N58, $D$45:$D$52, $E$45:$E$52))</f>
        <v>0.25490400000000007</v>
      </c>
      <c r="Q58" s="15" cm="1">
        <f t="array" ref="Q58">MMS_Poultry_AtmosphericDeposition_Equations.VEERG_4_6_1_5__2_TotalNitrogenVolatilisedFromMMS(Q23, _xlfn.XLOOKUP($N58, $D$45:$D$52, $E$45:$E$52))</f>
        <v>0.27208080000000001</v>
      </c>
      <c r="R58" s="15" cm="1">
        <f t="array" ref="R58">MMS_Poultry_AtmosphericDeposition_Equations.VEERG_4_6_1_5__2_TotalNitrogenVolatilisedFromMMS(R23, _xlfn.XLOOKUP($N58, $D$45:$D$52, $E$45:$E$52))</f>
        <v>0.31938240000000001</v>
      </c>
      <c r="S58" s="15" cm="1">
        <f t="array" ref="S58">MMS_Poultry_AtmosphericDeposition_Equations.VEERG_4_6_1_5__2_TotalNitrogenVolatilisedFromMMS(S23, _xlfn.XLOOKUP($N58, $D$45:$D$52, $E$45:$E$52))</f>
        <v>0.27208080000000001</v>
      </c>
      <c r="T58" s="16"/>
    </row>
    <row r="59" spans="1:20" ht="20.100000000000001" customHeight="1" x14ac:dyDescent="0.2">
      <c r="D59" s="15" t="str">
        <f>INDEX(X_Table_Poultry_Stage1MMS,4,1)</f>
        <v>Manure stored in house</v>
      </c>
      <c r="E59" s="15" t="s">
        <v>124</v>
      </c>
      <c r="F59" s="15" cm="1">
        <f t="array" ref="F59">MMS_Poultry_AtmosphericDeposition_Equations.VEERG_4_6_1_5__2_TotalNitrogenVolatilisedFromMMS(F24, _xlfn.XLOOKUP($D59, $D$45:$D$52, $E$45:$E$52))</f>
        <v>2.0392320000000006</v>
      </c>
      <c r="G59" s="15" cm="1">
        <f t="array" ref="G59">MMS_Poultry_AtmosphericDeposition_Equations.VEERG_4_6_1_5__2_TotalNitrogenVolatilisedFromMMS(G24, _xlfn.XLOOKUP($D59, $D$45:$D$52, $E$45:$E$52))</f>
        <v>2.1766464000000001</v>
      </c>
      <c r="H59" s="15" cm="1">
        <f t="array" ref="H59">MMS_Poultry_AtmosphericDeposition_Equations.VEERG_4_6_1_5__2_TotalNitrogenVolatilisedFromMMS(H24, _xlfn.XLOOKUP($D59, $D$45:$D$52, $E$45:$E$52))</f>
        <v>2.5550592000000001</v>
      </c>
      <c r="I59" s="15" cm="1">
        <f t="array" ref="I59">MMS_Poultry_AtmosphericDeposition_Equations.VEERG_4_6_1_5__2_TotalNitrogenVolatilisedFromMMS(I24, _xlfn.XLOOKUP($D59, $D$45:$D$52, $E$45:$E$52))</f>
        <v>2.1766464000000001</v>
      </c>
      <c r="J59" s="16"/>
      <c r="N59" s="15" t="str">
        <f>INDEX(X_Table_Poultry_Stage1MMS,4,1)</f>
        <v>Manure stored in house</v>
      </c>
      <c r="O59" s="15" t="s">
        <v>124</v>
      </c>
      <c r="P59" s="15" cm="1">
        <f t="array" ref="P59">MMS_Poultry_AtmosphericDeposition_Equations.VEERG_4_6_1_5__2_TotalNitrogenVolatilisedFromMMS(P24, _xlfn.XLOOKUP($N59, $D$45:$D$52, $E$45:$E$52))</f>
        <v>2.0392320000000006</v>
      </c>
      <c r="Q59" s="15" cm="1">
        <f t="array" ref="Q59">MMS_Poultry_AtmosphericDeposition_Equations.VEERG_4_6_1_5__2_TotalNitrogenVolatilisedFromMMS(Q24, _xlfn.XLOOKUP($N59, $D$45:$D$52, $E$45:$E$52))</f>
        <v>2.1766464000000001</v>
      </c>
      <c r="R59" s="15" cm="1">
        <f t="array" ref="R59">MMS_Poultry_AtmosphericDeposition_Equations.VEERG_4_6_1_5__2_TotalNitrogenVolatilisedFromMMS(R24, _xlfn.XLOOKUP($N59, $D$45:$D$52, $E$45:$E$52))</f>
        <v>2.5550592000000001</v>
      </c>
      <c r="S59" s="15" cm="1">
        <f t="array" ref="S59">MMS_Poultry_AtmosphericDeposition_Equations.VEERG_4_6_1_5__2_TotalNitrogenVolatilisedFromMMS(S24, _xlfn.XLOOKUP($N59, $D$45:$D$52, $E$45:$E$52))</f>
        <v>2.1766464000000001</v>
      </c>
      <c r="T59" s="16"/>
    </row>
    <row r="60" spans="1:20" ht="20.100000000000001" customHeight="1" x14ac:dyDescent="0.2">
      <c r="D60" s="15" t="str">
        <f>INDEX(X_Table_Poultry_Stage1MMS,5,1)</f>
        <v>Pasture range and paddock</v>
      </c>
      <c r="E60" s="15" t="s">
        <v>124</v>
      </c>
      <c r="F60" s="15" cm="1">
        <f t="array" ref="F60">MMS_Poultry_AtmosphericDeposition_Equations.VEERG_4_6_1_5__2_TotalNitrogenVolatilisedFromMMS(F25, _xlfn.XLOOKUP($D60, $D$45:$D$52, $E$45:$E$52))</f>
        <v>0</v>
      </c>
      <c r="G60" s="15" cm="1">
        <f t="array" ref="G60">MMS_Poultry_AtmosphericDeposition_Equations.VEERG_4_6_1_5__2_TotalNitrogenVolatilisedFromMMS(G25, _xlfn.XLOOKUP($D60, $D$45:$D$52, $E$45:$E$52))</f>
        <v>0</v>
      </c>
      <c r="H60" s="15" cm="1">
        <f t="array" ref="H60">MMS_Poultry_AtmosphericDeposition_Equations.VEERG_4_6_1_5__2_TotalNitrogenVolatilisedFromMMS(H25, _xlfn.XLOOKUP($D60, $D$45:$D$52, $E$45:$E$52))</f>
        <v>0</v>
      </c>
      <c r="I60" s="15" cm="1">
        <f t="array" ref="I60">MMS_Poultry_AtmosphericDeposition_Equations.VEERG_4_6_1_5__2_TotalNitrogenVolatilisedFromMMS(I25, _xlfn.XLOOKUP($D60, $D$45:$D$52, $E$45:$E$52))</f>
        <v>0</v>
      </c>
      <c r="J60" s="16"/>
      <c r="N60" s="15" t="str">
        <f>INDEX(X_Table_Poultry_Stage1MMS,5,1)</f>
        <v>Pasture range and paddock</v>
      </c>
      <c r="O60" s="15" t="s">
        <v>124</v>
      </c>
      <c r="P60" s="15" cm="1">
        <f t="array" ref="P60">MMS_Poultry_AtmosphericDeposition_Equations.VEERG_4_6_1_5__2_TotalNitrogenVolatilisedFromMMS(P25, _xlfn.XLOOKUP($N60, $D$45:$D$52, $E$45:$E$52))</f>
        <v>0</v>
      </c>
      <c r="Q60" s="15" cm="1">
        <f t="array" ref="Q60">MMS_Poultry_AtmosphericDeposition_Equations.VEERG_4_6_1_5__2_TotalNitrogenVolatilisedFromMMS(Q25, _xlfn.XLOOKUP($N60, $D$45:$D$52, $E$45:$E$52))</f>
        <v>0</v>
      </c>
      <c r="R60" s="15" cm="1">
        <f t="array" ref="R60">MMS_Poultry_AtmosphericDeposition_Equations.VEERG_4_6_1_5__2_TotalNitrogenVolatilisedFromMMS(R25, _xlfn.XLOOKUP($N60, $D$45:$D$52, $E$45:$E$52))</f>
        <v>0</v>
      </c>
      <c r="S60" s="15" cm="1">
        <f t="array" ref="S60">MMS_Poultry_AtmosphericDeposition_Equations.VEERG_4_6_1_5__2_TotalNitrogenVolatilisedFromMMS(S25, _xlfn.XLOOKUP($N60, $D$45:$D$52, $E$45:$E$52))</f>
        <v>0</v>
      </c>
      <c r="T60" s="16"/>
    </row>
    <row r="61" spans="1:20" ht="20.100000000000001" customHeight="1" x14ac:dyDescent="0.2">
      <c r="D61" s="15" t="str">
        <f>INDEX(X_Table_Poultry_Stage1MMS,2,1)</f>
        <v>Poultry manure with bedding</v>
      </c>
      <c r="E61" s="15" t="str">
        <f>INDEX(X_Table_Poultry_Stage2MMS_PoultryManureWithBedding,2,1)</f>
        <v>Solid storage</v>
      </c>
      <c r="F61" s="15" cm="1">
        <f t="array" ref="F61">MMS_Poultry_AtmosphericDeposition_Equations.VEERG_4_6_1_5__2_TotalNitrogenVolatilisedFromMMS(F26, _xlfn.XLOOKUP($E61, $D$45:$D$52, $E$45:$E$52))</f>
        <v>0.14254231680000004</v>
      </c>
      <c r="G61" s="15" cm="1">
        <f t="array" ref="G61">MMS_Poultry_AtmosphericDeposition_Equations.VEERG_4_6_1_5__2_TotalNitrogenVolatilisedFromMMS(G26, _xlfn.XLOOKUP($E61, $D$45:$D$52, $E$45:$E$52))</f>
        <v>0.15214758336</v>
      </c>
      <c r="H61" s="15" cm="1">
        <f t="array" ref="H61">MMS_Poultry_AtmosphericDeposition_Equations.VEERG_4_6_1_5__2_TotalNitrogenVolatilisedFromMMS(H26, _xlfn.XLOOKUP($E61, $D$45:$D$52, $E$45:$E$52))</f>
        <v>0.17859863807999998</v>
      </c>
      <c r="I61" s="15" cm="1">
        <f t="array" ref="I61">MMS_Poultry_AtmosphericDeposition_Equations.VEERG_4_6_1_5__2_TotalNitrogenVolatilisedFromMMS(I26, _xlfn.XLOOKUP($E61, $D$45:$D$52, $E$45:$E$52))</f>
        <v>0.15214758336</v>
      </c>
      <c r="J61" s="16"/>
      <c r="N61" s="15" t="str">
        <f>INDEX(X_Table_Poultry_Stage1MMS,2,1)</f>
        <v>Poultry manure with bedding</v>
      </c>
      <c r="O61" s="15" t="str">
        <f>INDEX(X_Table_Poultry_Stage2MMS_PoultryManureWithBedding,2,1)</f>
        <v>Solid storage</v>
      </c>
      <c r="P61" s="15" cm="1">
        <f t="array" ref="P61">MMS_Poultry_AtmosphericDeposition_Equations.VEERG_4_6_1_5__2_TotalNitrogenVolatilisedFromMMS(P26, _xlfn.XLOOKUP($O61, $D$45:$D$52, $E$45:$E$52))</f>
        <v>0.14254231680000004</v>
      </c>
      <c r="Q61" s="15" cm="1">
        <f t="array" ref="Q61">MMS_Poultry_AtmosphericDeposition_Equations.VEERG_4_6_1_5__2_TotalNitrogenVolatilisedFromMMS(Q26, _xlfn.XLOOKUP($O61, $D$45:$D$52, $E$45:$E$52))</f>
        <v>0.15214758336</v>
      </c>
      <c r="R61" s="15" cm="1">
        <f t="array" ref="R61">MMS_Poultry_AtmosphericDeposition_Equations.VEERG_4_6_1_5__2_TotalNitrogenVolatilisedFromMMS(R26, _xlfn.XLOOKUP($O61, $D$45:$D$52, $E$45:$E$52))</f>
        <v>0.17859863807999998</v>
      </c>
      <c r="S61" s="15" cm="1">
        <f t="array" ref="S61">MMS_Poultry_AtmosphericDeposition_Equations.VEERG_4_6_1_5__2_TotalNitrogenVolatilisedFromMMS(S26, _xlfn.XLOOKUP($O61, $D$45:$D$52, $E$45:$E$52))</f>
        <v>0.15214758336</v>
      </c>
      <c r="T61" s="16"/>
    </row>
    <row r="62" spans="1:20" ht="20.100000000000001" customHeight="1" x14ac:dyDescent="0.2">
      <c r="D62" s="15"/>
      <c r="E62" s="15" t="str">
        <f>INDEX(X_Table_Poultry_Stage2MMS_PoultryManureWithBedding,3,1)</f>
        <v>Composting (passive windrow)</v>
      </c>
      <c r="F62" s="15" cm="1">
        <f t="array" ref="F62">MMS_Poultry_AtmosphericDeposition_Equations.VEERG_4_6_1_5__2_TotalNitrogenVolatilisedFromMMS(F27, _xlfn.XLOOKUP($E62, $D$45:$D$52, $E$45:$E$52))</f>
        <v>0.14254231680000004</v>
      </c>
      <c r="G62" s="15" cm="1">
        <f t="array" ref="G62">MMS_Poultry_AtmosphericDeposition_Equations.VEERG_4_6_1_5__2_TotalNitrogenVolatilisedFromMMS(G27, _xlfn.XLOOKUP($E62, $D$45:$D$52, $E$45:$E$52))</f>
        <v>0.15214758336</v>
      </c>
      <c r="H62" s="15" cm="1">
        <f t="array" ref="H62">MMS_Poultry_AtmosphericDeposition_Equations.VEERG_4_6_1_5__2_TotalNitrogenVolatilisedFromMMS(H27, _xlfn.XLOOKUP($E62, $D$45:$D$52, $E$45:$E$52))</f>
        <v>0.17859863807999998</v>
      </c>
      <c r="I62" s="15" cm="1">
        <f t="array" ref="I62">MMS_Poultry_AtmosphericDeposition_Equations.VEERG_4_6_1_5__2_TotalNitrogenVolatilisedFromMMS(I27, _xlfn.XLOOKUP($E62, $D$45:$D$52, $E$45:$E$52))</f>
        <v>0.15214758336</v>
      </c>
      <c r="J62" s="16"/>
      <c r="N62" s="15"/>
      <c r="O62" s="15" t="str">
        <f>INDEX(X_Table_Poultry_Stage2MMS_PoultryManureWithBedding,3,1)</f>
        <v>Composting (passive windrow)</v>
      </c>
      <c r="P62" s="15" cm="1">
        <f t="array" ref="P62">MMS_Poultry_AtmosphericDeposition_Equations.VEERG_4_6_1_5__2_TotalNitrogenVolatilisedFromMMS(P27, _xlfn.XLOOKUP($O62, $D$45:$D$52, $E$45:$E$52))</f>
        <v>0.14254231680000004</v>
      </c>
      <c r="Q62" s="15" cm="1">
        <f t="array" ref="Q62">MMS_Poultry_AtmosphericDeposition_Equations.VEERG_4_6_1_5__2_TotalNitrogenVolatilisedFromMMS(Q27, _xlfn.XLOOKUP($O62, $D$45:$D$52, $E$45:$E$52))</f>
        <v>0.15214758336</v>
      </c>
      <c r="R62" s="15" cm="1">
        <f t="array" ref="R62">MMS_Poultry_AtmosphericDeposition_Equations.VEERG_4_6_1_5__2_TotalNitrogenVolatilisedFromMMS(R27, _xlfn.XLOOKUP($O62, $D$45:$D$52, $E$45:$E$52))</f>
        <v>0.17859863807999998</v>
      </c>
      <c r="S62" s="15" cm="1">
        <f t="array" ref="S62">MMS_Poultry_AtmosphericDeposition_Equations.VEERG_4_6_1_5__2_TotalNitrogenVolatilisedFromMMS(S27, _xlfn.XLOOKUP($O62, $D$45:$D$52, $E$45:$E$52))</f>
        <v>0.15214758336</v>
      </c>
      <c r="T62" s="16"/>
    </row>
    <row r="63" spans="1:20" ht="20.100000000000001" customHeight="1" x14ac:dyDescent="0.2">
      <c r="D63" s="15"/>
      <c r="E63" s="15" t="str">
        <f>INDEX(X_Table_Poultry_Stage2MMS_PoultryManureWithBedding,4,1)</f>
        <v>Digester / covered lagoons</v>
      </c>
      <c r="F63" s="15" cm="1">
        <f t="array" ref="F63">MMS_Poultry_AtmosphericDeposition_Equations.VEERG_4_6_1_5__2_TotalNitrogenVolatilisedFromMMS(F28, _xlfn.XLOOKUP($E63, $D$45:$D$52, $E$45:$E$52))</f>
        <v>0</v>
      </c>
      <c r="G63" s="15" cm="1">
        <f t="array" ref="G63">MMS_Poultry_AtmosphericDeposition_Equations.VEERG_4_6_1_5__2_TotalNitrogenVolatilisedFromMMS(G28, _xlfn.XLOOKUP($E63, $D$45:$D$52, $E$45:$E$52))</f>
        <v>0</v>
      </c>
      <c r="H63" s="15" cm="1">
        <f t="array" ref="H63">MMS_Poultry_AtmosphericDeposition_Equations.VEERG_4_6_1_5__2_TotalNitrogenVolatilisedFromMMS(H28, _xlfn.XLOOKUP($E63, $D$45:$D$52, $E$45:$E$52))</f>
        <v>0</v>
      </c>
      <c r="I63" s="15" cm="1">
        <f t="array" ref="I63">MMS_Poultry_AtmosphericDeposition_Equations.VEERG_4_6_1_5__2_TotalNitrogenVolatilisedFromMMS(I28, _xlfn.XLOOKUP($E63, $D$45:$D$52, $E$45:$E$52))</f>
        <v>0</v>
      </c>
      <c r="J63" s="16"/>
      <c r="N63" s="15"/>
      <c r="O63" s="15" t="str">
        <f>INDEX(X_Table_Poultry_Stage2MMS_PoultryManureWithBedding,4,1)</f>
        <v>Digester / covered lagoons</v>
      </c>
      <c r="P63" s="15" cm="1">
        <f t="array" ref="P63">MMS_Poultry_AtmosphericDeposition_Equations.VEERG_4_6_1_5__2_TotalNitrogenVolatilisedFromMMS(P28, _xlfn.XLOOKUP($O63, $D$45:$D$52, $E$45:$E$52))</f>
        <v>0</v>
      </c>
      <c r="Q63" s="15" cm="1">
        <f t="array" ref="Q63">MMS_Poultry_AtmosphericDeposition_Equations.VEERG_4_6_1_5__2_TotalNitrogenVolatilisedFromMMS(Q28, _xlfn.XLOOKUP($O63, $D$45:$D$52, $E$45:$E$52))</f>
        <v>0</v>
      </c>
      <c r="R63" s="15" cm="1">
        <f t="array" ref="R63">MMS_Poultry_AtmosphericDeposition_Equations.VEERG_4_6_1_5__2_TotalNitrogenVolatilisedFromMMS(R28, _xlfn.XLOOKUP($O63, $D$45:$D$52, $E$45:$E$52))</f>
        <v>0</v>
      </c>
      <c r="S63" s="15" cm="1">
        <f t="array" ref="S63">MMS_Poultry_AtmosphericDeposition_Equations.VEERG_4_6_1_5__2_TotalNitrogenVolatilisedFromMMS(S28, _xlfn.XLOOKUP($O63, $D$45:$D$52, $E$45:$E$52))</f>
        <v>0</v>
      </c>
      <c r="T63" s="16"/>
    </row>
    <row r="64" spans="1:20" ht="20.100000000000001" customHeight="1" x14ac:dyDescent="0.2">
      <c r="D64" s="15"/>
      <c r="E64" s="15" t="str">
        <f>INDEX(X_Table_Poultry_Stage2MMS_PoultryManureWithBedding,5,1)</f>
        <v>Direct processing</v>
      </c>
      <c r="F64" s="15" cm="1">
        <f t="array" ref="F64">MMS_Poultry_AtmosphericDeposition_Equations.VEERG_4_6_1_5__2_TotalNitrogenVolatilisedFromMMS(F29, _xlfn.XLOOKUP($E64, $D$45:$D$52, $E$45:$E$52))</f>
        <v>0</v>
      </c>
      <c r="G64" s="15" cm="1">
        <f t="array" ref="G64">MMS_Poultry_AtmosphericDeposition_Equations.VEERG_4_6_1_5__2_TotalNitrogenVolatilisedFromMMS(G29, _xlfn.XLOOKUP($E64, $D$45:$D$52, $E$45:$E$52))</f>
        <v>0</v>
      </c>
      <c r="H64" s="15" cm="1">
        <f t="array" ref="H64">MMS_Poultry_AtmosphericDeposition_Equations.VEERG_4_6_1_5__2_TotalNitrogenVolatilisedFromMMS(H29, _xlfn.XLOOKUP($E64, $D$45:$D$52, $E$45:$E$52))</f>
        <v>0</v>
      </c>
      <c r="I64" s="15" cm="1">
        <f t="array" ref="I64">MMS_Poultry_AtmosphericDeposition_Equations.VEERG_4_6_1_5__2_TotalNitrogenVolatilisedFromMMS(I29, _xlfn.XLOOKUP($E64, $D$45:$D$52, $E$45:$E$52))</f>
        <v>0</v>
      </c>
      <c r="J64" s="16"/>
      <c r="N64" s="15"/>
      <c r="O64" s="15" t="str">
        <f>INDEX(X_Table_Poultry_Stage2MMS_PoultryManureWithBedding,5,1)</f>
        <v>Direct processing</v>
      </c>
      <c r="P64" s="15" cm="1">
        <f t="array" ref="P64">MMS_Poultry_AtmosphericDeposition_Equations.VEERG_4_6_1_5__2_TotalNitrogenVolatilisedFromMMS(P29, _xlfn.XLOOKUP($O64, $D$45:$D$52, $E$45:$E$52))</f>
        <v>0</v>
      </c>
      <c r="Q64" s="15" cm="1">
        <f t="array" ref="Q64">MMS_Poultry_AtmosphericDeposition_Equations.VEERG_4_6_1_5__2_TotalNitrogenVolatilisedFromMMS(Q29, _xlfn.XLOOKUP($O64, $D$45:$D$52, $E$45:$E$52))</f>
        <v>0</v>
      </c>
      <c r="R64" s="15" cm="1">
        <f t="array" ref="R64">MMS_Poultry_AtmosphericDeposition_Equations.VEERG_4_6_1_5__2_TotalNitrogenVolatilisedFromMMS(R29, _xlfn.XLOOKUP($O64, $D$45:$D$52, $E$45:$E$52))</f>
        <v>0</v>
      </c>
      <c r="S64" s="15" cm="1">
        <f t="array" ref="S64">MMS_Poultry_AtmosphericDeposition_Equations.VEERG_4_6_1_5__2_TotalNitrogenVolatilisedFromMMS(S29, _xlfn.XLOOKUP($O64, $D$45:$D$52, $E$45:$E$52))</f>
        <v>0</v>
      </c>
      <c r="T64" s="16"/>
    </row>
    <row r="65" spans="1:21" ht="20.100000000000001" customHeight="1" x14ac:dyDescent="0.2">
      <c r="D65" s="15"/>
      <c r="E65" s="15" t="str">
        <f>INDEX(X_Table_Poultry_Stage2MMS_PoultryManureWithBedding,6,1)</f>
        <v>Direct application</v>
      </c>
      <c r="F65" s="15" t="s">
        <v>124</v>
      </c>
      <c r="G65" s="15" t="s">
        <v>124</v>
      </c>
      <c r="H65" s="15" t="s">
        <v>124</v>
      </c>
      <c r="I65" s="15" t="s">
        <v>124</v>
      </c>
      <c r="N65" s="15"/>
      <c r="O65" s="15" t="str">
        <f>INDEX(X_Table_Poultry_Stage2MMS_PoultryManureWithBedding,6,1)</f>
        <v>Direct application</v>
      </c>
      <c r="P65" s="15" t="s">
        <v>124</v>
      </c>
      <c r="Q65" s="15" t="s">
        <v>124</v>
      </c>
      <c r="R65" s="15" t="s">
        <v>124</v>
      </c>
      <c r="S65" s="15" t="s">
        <v>124</v>
      </c>
    </row>
    <row r="66" spans="1:21" ht="20.100000000000001" customHeight="1" x14ac:dyDescent="0.2">
      <c r="D66" s="15" t="str">
        <f>INDEX(X_Table_Poultry_Stage1MMS,3,1)</f>
        <v>Belt manure removal</v>
      </c>
      <c r="E66" s="15" t="str">
        <f>INDEX(X_Table_Poultry_Stage2MMS_BeltManureRemoval,2,1)</f>
        <v>Solid storage</v>
      </c>
      <c r="F66" s="15" cm="1">
        <f t="array" ref="F66">MMS_Poultry_AtmosphericDeposition_Equations.VEERG_4_6_1_5__2_TotalNitrogenVolatilisedFromMMS(F31, _xlfn.XLOOKUP($E66, $D$45:$D$52, $E$45:$E$52))</f>
        <v>0.19352311680000006</v>
      </c>
      <c r="G66" s="15" cm="1">
        <f t="array" ref="G66">MMS_Poultry_AtmosphericDeposition_Equations.VEERG_4_6_1_5__2_TotalNitrogenVolatilisedFromMMS(G31, _xlfn.XLOOKUP($E66, $D$45:$D$52, $E$45:$E$52))</f>
        <v>0.20656374336000002</v>
      </c>
      <c r="H66" s="15" cm="1">
        <f t="array" ref="H66">MMS_Poultry_AtmosphericDeposition_Equations.VEERG_4_6_1_5__2_TotalNitrogenVolatilisedFromMMS(H31, _xlfn.XLOOKUP($E66, $D$45:$D$52, $E$45:$E$52))</f>
        <v>0.24247511808</v>
      </c>
      <c r="I66" s="15" cm="1">
        <f t="array" ref="I66">MMS_Poultry_AtmosphericDeposition_Equations.VEERG_4_6_1_5__2_TotalNitrogenVolatilisedFromMMS(I31, _xlfn.XLOOKUP($E66, $D$45:$D$52, $E$45:$E$52))</f>
        <v>0.20656374336000002</v>
      </c>
      <c r="J66" s="16"/>
      <c r="N66" s="15" t="str">
        <f>INDEX(X_Table_Poultry_Stage1MMS,3,1)</f>
        <v>Belt manure removal</v>
      </c>
      <c r="O66" s="15" t="str">
        <f>INDEX(X_Table_Poultry_Stage2MMS_BeltManureRemoval,2,1)</f>
        <v>Solid storage</v>
      </c>
      <c r="P66" s="15" cm="1">
        <f t="array" ref="P66">MMS_Poultry_AtmosphericDeposition_Equations.VEERG_4_6_1_5__2_TotalNitrogenVolatilisedFromMMS(P31, _xlfn.XLOOKUP($O66, $D$45:$D$52, $E$45:$E$52))</f>
        <v>0.19352311680000006</v>
      </c>
      <c r="Q66" s="15" cm="1">
        <f t="array" ref="Q66">MMS_Poultry_AtmosphericDeposition_Equations.VEERG_4_6_1_5__2_TotalNitrogenVolatilisedFromMMS(Q31, _xlfn.XLOOKUP($O66, $D$45:$D$52, $E$45:$E$52))</f>
        <v>0.20656374336000002</v>
      </c>
      <c r="R66" s="15" cm="1">
        <f t="array" ref="R66">MMS_Poultry_AtmosphericDeposition_Equations.VEERG_4_6_1_5__2_TotalNitrogenVolatilisedFromMMS(R31, _xlfn.XLOOKUP($O66, $D$45:$D$52, $E$45:$E$52))</f>
        <v>0.24247511808</v>
      </c>
      <c r="S66" s="15" cm="1">
        <f t="array" ref="S66">MMS_Poultry_AtmosphericDeposition_Equations.VEERG_4_6_1_5__2_TotalNitrogenVolatilisedFromMMS(S31, _xlfn.XLOOKUP($O66, $D$45:$D$52, $E$45:$E$52))</f>
        <v>0.20656374336000002</v>
      </c>
      <c r="T66" s="16"/>
    </row>
    <row r="67" spans="1:21" ht="20.100000000000001" customHeight="1" x14ac:dyDescent="0.2">
      <c r="D67" s="15"/>
      <c r="E67" s="15" t="str">
        <f>INDEX(X_Table_Poultry_Stage2MMS_BeltManureRemoval,3,1)</f>
        <v>Composting (passive windrow)</v>
      </c>
      <c r="F67" s="15" cm="1">
        <f t="array" ref="F67">MMS_Poultry_AtmosphericDeposition_Equations.VEERG_4_6_1_5__2_TotalNitrogenVolatilisedFromMMS(F32, _xlfn.XLOOKUP($E67, $D$45:$D$52, $E$45:$E$52))</f>
        <v>0.19352311680000006</v>
      </c>
      <c r="G67" s="15" cm="1">
        <f t="array" ref="G67">MMS_Poultry_AtmosphericDeposition_Equations.VEERG_4_6_1_5__2_TotalNitrogenVolatilisedFromMMS(G32, _xlfn.XLOOKUP($E67, $D$45:$D$52, $E$45:$E$52))</f>
        <v>0.20656374336000002</v>
      </c>
      <c r="H67" s="15" cm="1">
        <f t="array" ref="H67">MMS_Poultry_AtmosphericDeposition_Equations.VEERG_4_6_1_5__2_TotalNitrogenVolatilisedFromMMS(H32, _xlfn.XLOOKUP($E67, $D$45:$D$52, $E$45:$E$52))</f>
        <v>0.24247511808</v>
      </c>
      <c r="I67" s="15" cm="1">
        <f t="array" ref="I67">MMS_Poultry_AtmosphericDeposition_Equations.VEERG_4_6_1_5__2_TotalNitrogenVolatilisedFromMMS(I32, _xlfn.XLOOKUP($E67, $D$45:$D$52, $E$45:$E$52))</f>
        <v>0.20656374336000002</v>
      </c>
      <c r="J67" s="16"/>
      <c r="N67" s="15"/>
      <c r="O67" s="15" t="str">
        <f>INDEX(X_Table_Poultry_Stage2MMS_BeltManureRemoval,3,1)</f>
        <v>Composting (passive windrow)</v>
      </c>
      <c r="P67" s="15" cm="1">
        <f t="array" ref="P67">MMS_Poultry_AtmosphericDeposition_Equations.VEERG_4_6_1_5__2_TotalNitrogenVolatilisedFromMMS(P32, _xlfn.XLOOKUP($O67, $D$45:$D$52, $E$45:$E$52))</f>
        <v>0.19352311680000006</v>
      </c>
      <c r="Q67" s="15" cm="1">
        <f t="array" ref="Q67">MMS_Poultry_AtmosphericDeposition_Equations.VEERG_4_6_1_5__2_TotalNitrogenVolatilisedFromMMS(Q32, _xlfn.XLOOKUP($O67, $D$45:$D$52, $E$45:$E$52))</f>
        <v>0.20656374336000002</v>
      </c>
      <c r="R67" s="15" cm="1">
        <f t="array" ref="R67">MMS_Poultry_AtmosphericDeposition_Equations.VEERG_4_6_1_5__2_TotalNitrogenVolatilisedFromMMS(R32, _xlfn.XLOOKUP($O67, $D$45:$D$52, $E$45:$E$52))</f>
        <v>0.24247511808</v>
      </c>
      <c r="S67" s="15" cm="1">
        <f t="array" ref="S67">MMS_Poultry_AtmosphericDeposition_Equations.VEERG_4_6_1_5__2_TotalNitrogenVolatilisedFromMMS(S32, _xlfn.XLOOKUP($O67, $D$45:$D$52, $E$45:$E$52))</f>
        <v>0.20656374336000002</v>
      </c>
      <c r="T67" s="16"/>
    </row>
    <row r="68" spans="1:21" ht="20.100000000000001" customHeight="1" x14ac:dyDescent="0.2">
      <c r="A68" s="79" t="str">
        <f>HYPERLINK("#A1", "▲ Back to top")</f>
        <v>▲ Back to top</v>
      </c>
      <c r="D68" s="15"/>
      <c r="E68" s="15" t="str">
        <f>INDEX(X_Table_Poultry_Stage2MMS_BeltManureRemoval,4,1)</f>
        <v>Digester / covered lagoons</v>
      </c>
      <c r="F68" s="15" cm="1">
        <f t="array" ref="F68">MMS_Poultry_AtmosphericDeposition_Equations.VEERG_4_6_1_5__2_TotalNitrogenVolatilisedFromMMS(F33, _xlfn.XLOOKUP($E68, $D$45:$D$52, $E$45:$E$52))</f>
        <v>0</v>
      </c>
      <c r="G68" s="15" cm="1">
        <f t="array" ref="G68">MMS_Poultry_AtmosphericDeposition_Equations.VEERG_4_6_1_5__2_TotalNitrogenVolatilisedFromMMS(G33, _xlfn.XLOOKUP($E68, $D$45:$D$52, $E$45:$E$52))</f>
        <v>0</v>
      </c>
      <c r="H68" s="15" cm="1">
        <f t="array" ref="H68">MMS_Poultry_AtmosphericDeposition_Equations.VEERG_4_6_1_5__2_TotalNitrogenVolatilisedFromMMS(H33, _xlfn.XLOOKUP($E68, $D$45:$D$52, $E$45:$E$52))</f>
        <v>0</v>
      </c>
      <c r="I68" s="15" cm="1">
        <f t="array" ref="I68">MMS_Poultry_AtmosphericDeposition_Equations.VEERG_4_6_1_5__2_TotalNitrogenVolatilisedFromMMS(I33, _xlfn.XLOOKUP($E68, $D$45:$D$52, $E$45:$E$52))</f>
        <v>0</v>
      </c>
      <c r="J68" s="16"/>
      <c r="N68" s="15"/>
      <c r="O68" s="15" t="str">
        <f>INDEX(X_Table_Poultry_Stage2MMS_BeltManureRemoval,4,1)</f>
        <v>Digester / covered lagoons</v>
      </c>
      <c r="P68" s="15" cm="1">
        <f t="array" ref="P68">MMS_Poultry_AtmosphericDeposition_Equations.VEERG_4_6_1_5__2_TotalNitrogenVolatilisedFromMMS(P33, _xlfn.XLOOKUP($O68, $D$45:$D$52, $E$45:$E$52))</f>
        <v>0</v>
      </c>
      <c r="Q68" s="15" cm="1">
        <f t="array" ref="Q68">MMS_Poultry_AtmosphericDeposition_Equations.VEERG_4_6_1_5__2_TotalNitrogenVolatilisedFromMMS(Q33, _xlfn.XLOOKUP($O68, $D$45:$D$52, $E$45:$E$52))</f>
        <v>0</v>
      </c>
      <c r="R68" s="15" cm="1">
        <f t="array" ref="R68">MMS_Poultry_AtmosphericDeposition_Equations.VEERG_4_6_1_5__2_TotalNitrogenVolatilisedFromMMS(R33, _xlfn.XLOOKUP($O68, $D$45:$D$52, $E$45:$E$52))</f>
        <v>0</v>
      </c>
      <c r="S68" s="15" cm="1">
        <f t="array" ref="S68">MMS_Poultry_AtmosphericDeposition_Equations.VEERG_4_6_1_5__2_TotalNitrogenVolatilisedFromMMS(S33, _xlfn.XLOOKUP($O68, $D$45:$D$52, $E$45:$E$52))</f>
        <v>0</v>
      </c>
      <c r="T68" s="16"/>
    </row>
    <row r="69" spans="1:21" ht="20.100000000000001" customHeight="1" x14ac:dyDescent="0.2">
      <c r="D69" s="15"/>
      <c r="E69" s="15" t="str">
        <f>INDEX(X_Table_Poultry_Stage2MMS_BeltManureRemoval,5,1)</f>
        <v>Direct processing</v>
      </c>
      <c r="F69" s="15" cm="1">
        <f t="array" ref="F69">MMS_Poultry_AtmosphericDeposition_Equations.VEERG_4_6_1_5__2_TotalNitrogenVolatilisedFromMMS(F34, _xlfn.XLOOKUP($E69, $D$45:$D$52, $E$45:$E$52))</f>
        <v>0</v>
      </c>
      <c r="G69" s="15" cm="1">
        <f t="array" ref="G69">MMS_Poultry_AtmosphericDeposition_Equations.VEERG_4_6_1_5__2_TotalNitrogenVolatilisedFromMMS(G34, _xlfn.XLOOKUP($E69, $D$45:$D$52, $E$45:$E$52))</f>
        <v>0</v>
      </c>
      <c r="H69" s="15" cm="1">
        <f t="array" ref="H69">MMS_Poultry_AtmosphericDeposition_Equations.VEERG_4_6_1_5__2_TotalNitrogenVolatilisedFromMMS(H34, _xlfn.XLOOKUP($E69, $D$45:$D$52, $E$45:$E$52))</f>
        <v>0</v>
      </c>
      <c r="I69" s="15" cm="1">
        <f t="array" ref="I69">MMS_Poultry_AtmosphericDeposition_Equations.VEERG_4_6_1_5__2_TotalNitrogenVolatilisedFromMMS(I34, _xlfn.XLOOKUP($E69, $D$45:$D$52, $E$45:$E$52))</f>
        <v>0</v>
      </c>
      <c r="J69" s="16"/>
      <c r="N69" s="15"/>
      <c r="O69" s="15" t="str">
        <f>INDEX(X_Table_Poultry_Stage2MMS_BeltManureRemoval,5,1)</f>
        <v>Direct processing</v>
      </c>
      <c r="P69" s="15" cm="1">
        <f t="array" ref="P69">MMS_Poultry_AtmosphericDeposition_Equations.VEERG_4_6_1_5__2_TotalNitrogenVolatilisedFromMMS(P34, _xlfn.XLOOKUP($O69, $D$45:$D$52, $E$45:$E$52))</f>
        <v>0</v>
      </c>
      <c r="Q69" s="15" cm="1">
        <f t="array" ref="Q69">MMS_Poultry_AtmosphericDeposition_Equations.VEERG_4_6_1_5__2_TotalNitrogenVolatilisedFromMMS(Q34, _xlfn.XLOOKUP($O69, $D$45:$D$52, $E$45:$E$52))</f>
        <v>0</v>
      </c>
      <c r="R69" s="15" cm="1">
        <f t="array" ref="R69">MMS_Poultry_AtmosphericDeposition_Equations.VEERG_4_6_1_5__2_TotalNitrogenVolatilisedFromMMS(R34, _xlfn.XLOOKUP($O69, $D$45:$D$52, $E$45:$E$52))</f>
        <v>0</v>
      </c>
      <c r="S69" s="15" cm="1">
        <f t="array" ref="S69">MMS_Poultry_AtmosphericDeposition_Equations.VEERG_4_6_1_5__2_TotalNitrogenVolatilisedFromMMS(S34, _xlfn.XLOOKUP($O69, $D$45:$D$52, $E$45:$E$52))</f>
        <v>0</v>
      </c>
      <c r="T69" s="16"/>
    </row>
    <row r="70" spans="1:21" ht="20.100000000000001" customHeight="1" x14ac:dyDescent="0.2">
      <c r="D70" s="15"/>
      <c r="E70" s="15" t="str">
        <f>INDEX(X_Table_Poultry_Stage2MMS_BeltManureRemoval,6,1)</f>
        <v>Direct application</v>
      </c>
      <c r="F70" s="15" t="s">
        <v>124</v>
      </c>
      <c r="G70" s="15" t="s">
        <v>124</v>
      </c>
      <c r="H70" s="15" t="s">
        <v>124</v>
      </c>
      <c r="I70" s="15" t="s">
        <v>124</v>
      </c>
      <c r="N70" s="15"/>
      <c r="O70" s="15" t="str">
        <f>INDEX(X_Table_Poultry_Stage2MMS_BeltManureRemoval,6,1)</f>
        <v>Direct application</v>
      </c>
      <c r="P70" s="15" t="s">
        <v>124</v>
      </c>
      <c r="Q70" s="15" t="s">
        <v>124</v>
      </c>
      <c r="R70" s="15" t="s">
        <v>124</v>
      </c>
      <c r="S70" s="15" t="s">
        <v>124</v>
      </c>
    </row>
    <row r="71" spans="1:21" ht="20.100000000000001" customHeight="1" x14ac:dyDescent="0.2">
      <c r="D71" s="15" t="str">
        <f>INDEX(X_Table_Poultry_Stage1MMS,4,1)</f>
        <v>Manure stored in house</v>
      </c>
      <c r="E71" s="15" t="str">
        <f>INDEX(X_Table_Poultry_Stage2MMS_ManureStoredInHouse,2,1)</f>
        <v>Solid storage</v>
      </c>
      <c r="F71" s="15" cm="1">
        <f t="array" ref="F71">MMS_Poultry_AtmosphericDeposition_Equations.VEERG_4_6_1_5__2_TotalNitrogenVolatilisedFromMMS(F36, _xlfn.XLOOKUP($E71, $D$45:$D$52, $E$45:$E$52))</f>
        <v>0.12214999680000004</v>
      </c>
      <c r="G71" s="15" cm="1">
        <f t="array" ref="G71">MMS_Poultry_AtmosphericDeposition_Equations.VEERG_4_6_1_5__2_TotalNitrogenVolatilisedFromMMS(G36, _xlfn.XLOOKUP($E71, $D$45:$D$52, $E$45:$E$52))</f>
        <v>0.13038111935999999</v>
      </c>
      <c r="H71" s="15" cm="1">
        <f t="array" ref="H71">MMS_Poultry_AtmosphericDeposition_Equations.VEERG_4_6_1_5__2_TotalNitrogenVolatilisedFromMMS(H36, _xlfn.XLOOKUP($E71, $D$45:$D$52, $E$45:$E$52))</f>
        <v>0.15304804608</v>
      </c>
      <c r="I71" s="15" cm="1">
        <f t="array" ref="I71">MMS_Poultry_AtmosphericDeposition_Equations.VEERG_4_6_1_5__2_TotalNitrogenVolatilisedFromMMS(I36, _xlfn.XLOOKUP($E71, $D$45:$D$52, $E$45:$E$52))</f>
        <v>0.13038111935999999</v>
      </c>
      <c r="J71" s="16"/>
      <c r="N71" s="15" t="str">
        <f>INDEX(X_Table_Poultry_Stage1MMS,4,1)</f>
        <v>Manure stored in house</v>
      </c>
      <c r="O71" s="15" t="str">
        <f>INDEX(X_Table_Poultry_Stage2MMS_ManureStoredInHouse,2,1)</f>
        <v>Solid storage</v>
      </c>
      <c r="P71" s="15" cm="1">
        <f t="array" ref="P71">MMS_Poultry_AtmosphericDeposition_Equations.VEERG_4_6_1_5__2_TotalNitrogenVolatilisedFromMMS(P36, _xlfn.XLOOKUP($O71, $D$45:$D$52, $E$45:$E$52))</f>
        <v>0.12214999680000004</v>
      </c>
      <c r="Q71" s="15" cm="1">
        <f t="array" ref="Q71">MMS_Poultry_AtmosphericDeposition_Equations.VEERG_4_6_1_5__2_TotalNitrogenVolatilisedFromMMS(Q36, _xlfn.XLOOKUP($O71, $D$45:$D$52, $E$45:$E$52))</f>
        <v>0.13038111935999999</v>
      </c>
      <c r="R71" s="15" cm="1">
        <f t="array" ref="R71">MMS_Poultry_AtmosphericDeposition_Equations.VEERG_4_6_1_5__2_TotalNitrogenVolatilisedFromMMS(R36, _xlfn.XLOOKUP($O71, $D$45:$D$52, $E$45:$E$52))</f>
        <v>0.15304804608</v>
      </c>
      <c r="S71" s="15" cm="1">
        <f t="array" ref="S71">MMS_Poultry_AtmosphericDeposition_Equations.VEERG_4_6_1_5__2_TotalNitrogenVolatilisedFromMMS(S36, _xlfn.XLOOKUP($O71, $D$45:$D$52, $E$45:$E$52))</f>
        <v>0.13038111935999999</v>
      </c>
      <c r="T71" s="16"/>
    </row>
    <row r="72" spans="1:21" ht="20.100000000000001" customHeight="1" x14ac:dyDescent="0.2">
      <c r="D72" s="15"/>
      <c r="E72" s="15" t="str">
        <f>INDEX(X_Table_Poultry_Stage2MMS_ManureStoredInHouse,3,1)</f>
        <v>Composting (passive windrow)</v>
      </c>
      <c r="F72" s="15" cm="1">
        <f t="array" ref="F72">MMS_Poultry_AtmosphericDeposition_Equations.VEERG_4_6_1_5__2_TotalNitrogenVolatilisedFromMMS(F37, _xlfn.XLOOKUP($E72, $D$45:$D$52, $E$45:$E$52))</f>
        <v>0.12214999680000004</v>
      </c>
      <c r="G72" s="15" cm="1">
        <f t="array" ref="G72">MMS_Poultry_AtmosphericDeposition_Equations.VEERG_4_6_1_5__2_TotalNitrogenVolatilisedFromMMS(G37, _xlfn.XLOOKUP($E72, $D$45:$D$52, $E$45:$E$52))</f>
        <v>0.13038111935999999</v>
      </c>
      <c r="H72" s="15" cm="1">
        <f t="array" ref="H72">MMS_Poultry_AtmosphericDeposition_Equations.VEERG_4_6_1_5__2_TotalNitrogenVolatilisedFromMMS(H37, _xlfn.XLOOKUP($E72, $D$45:$D$52, $E$45:$E$52))</f>
        <v>0.15304804608</v>
      </c>
      <c r="I72" s="15" cm="1">
        <f t="array" ref="I72">MMS_Poultry_AtmosphericDeposition_Equations.VEERG_4_6_1_5__2_TotalNitrogenVolatilisedFromMMS(I37, _xlfn.XLOOKUP($E72, $D$45:$D$52, $E$45:$E$52))</f>
        <v>0.13038111935999999</v>
      </c>
      <c r="J72" s="16"/>
      <c r="N72" s="15"/>
      <c r="O72" s="15" t="str">
        <f>INDEX(X_Table_Poultry_Stage2MMS_ManureStoredInHouse,3,1)</f>
        <v>Composting (passive windrow)</v>
      </c>
      <c r="P72" s="15" cm="1">
        <f t="array" ref="P72">MMS_Poultry_AtmosphericDeposition_Equations.VEERG_4_6_1_5__2_TotalNitrogenVolatilisedFromMMS(P37, _xlfn.XLOOKUP($O72, $D$45:$D$52, $E$45:$E$52))</f>
        <v>0.12214999680000004</v>
      </c>
      <c r="Q72" s="15" cm="1">
        <f t="array" ref="Q72">MMS_Poultry_AtmosphericDeposition_Equations.VEERG_4_6_1_5__2_TotalNitrogenVolatilisedFromMMS(Q37, _xlfn.XLOOKUP($O72, $D$45:$D$52, $E$45:$E$52))</f>
        <v>0.13038111935999999</v>
      </c>
      <c r="R72" s="15" cm="1">
        <f t="array" ref="R72">MMS_Poultry_AtmosphericDeposition_Equations.VEERG_4_6_1_5__2_TotalNitrogenVolatilisedFromMMS(R37, _xlfn.XLOOKUP($O72, $D$45:$D$52, $E$45:$E$52))</f>
        <v>0.15304804608</v>
      </c>
      <c r="S72" s="15" cm="1">
        <f t="array" ref="S72">MMS_Poultry_AtmosphericDeposition_Equations.VEERG_4_6_1_5__2_TotalNitrogenVolatilisedFromMMS(S37, _xlfn.XLOOKUP($O72, $D$45:$D$52, $E$45:$E$52))</f>
        <v>0.13038111935999999</v>
      </c>
      <c r="T72" s="16"/>
    </row>
    <row r="73" spans="1:21" ht="20.100000000000001" customHeight="1" x14ac:dyDescent="0.2">
      <c r="D73" s="15"/>
      <c r="E73" s="15" t="str">
        <f>INDEX(X_Table_Poultry_Stage2MMS_ManureStoredInHouse,4,1)</f>
        <v>Digester / covered lagoons</v>
      </c>
      <c r="F73" s="15" cm="1">
        <f t="array" ref="F73">MMS_Poultry_AtmosphericDeposition_Equations.VEERG_4_6_1_5__2_TotalNitrogenVolatilisedFromMMS(F38, _xlfn.XLOOKUP($E73, $D$45:$D$52, $E$45:$E$52))</f>
        <v>0</v>
      </c>
      <c r="G73" s="15" cm="1">
        <f t="array" ref="G73">MMS_Poultry_AtmosphericDeposition_Equations.VEERG_4_6_1_5__2_TotalNitrogenVolatilisedFromMMS(G38, _xlfn.XLOOKUP($E73, $D$45:$D$52, $E$45:$E$52))</f>
        <v>0</v>
      </c>
      <c r="H73" s="15" cm="1">
        <f t="array" ref="H73">MMS_Poultry_AtmosphericDeposition_Equations.VEERG_4_6_1_5__2_TotalNitrogenVolatilisedFromMMS(H38, _xlfn.XLOOKUP($E73, $D$45:$D$52, $E$45:$E$52))</f>
        <v>0</v>
      </c>
      <c r="I73" s="15" cm="1">
        <f t="array" ref="I73">MMS_Poultry_AtmosphericDeposition_Equations.VEERG_4_6_1_5__2_TotalNitrogenVolatilisedFromMMS(I38, _xlfn.XLOOKUP($E73, $D$45:$D$52, $E$45:$E$52))</f>
        <v>0</v>
      </c>
      <c r="J73" s="16"/>
      <c r="N73" s="15"/>
      <c r="O73" s="15" t="str">
        <f>INDEX(X_Table_Poultry_Stage2MMS_ManureStoredInHouse,4,1)</f>
        <v>Digester / covered lagoons</v>
      </c>
      <c r="P73" s="15" cm="1">
        <f t="array" ref="P73">MMS_Poultry_AtmosphericDeposition_Equations.VEERG_4_6_1_5__2_TotalNitrogenVolatilisedFromMMS(P38, _xlfn.XLOOKUP($O73, $D$45:$D$52, $E$45:$E$52))</f>
        <v>0</v>
      </c>
      <c r="Q73" s="15" cm="1">
        <f t="array" ref="Q73">MMS_Poultry_AtmosphericDeposition_Equations.VEERG_4_6_1_5__2_TotalNitrogenVolatilisedFromMMS(Q38, _xlfn.XLOOKUP($O73, $D$45:$D$52, $E$45:$E$52))</f>
        <v>0</v>
      </c>
      <c r="R73" s="15" cm="1">
        <f t="array" ref="R73">MMS_Poultry_AtmosphericDeposition_Equations.VEERG_4_6_1_5__2_TotalNitrogenVolatilisedFromMMS(R38, _xlfn.XLOOKUP($O73, $D$45:$D$52, $E$45:$E$52))</f>
        <v>0</v>
      </c>
      <c r="S73" s="15" cm="1">
        <f t="array" ref="S73">MMS_Poultry_AtmosphericDeposition_Equations.VEERG_4_6_1_5__2_TotalNitrogenVolatilisedFromMMS(S38, _xlfn.XLOOKUP($O73, $D$45:$D$52, $E$45:$E$52))</f>
        <v>0</v>
      </c>
      <c r="T73" s="16"/>
    </row>
    <row r="74" spans="1:21" ht="20.100000000000001" customHeight="1" x14ac:dyDescent="0.2">
      <c r="D74" s="15"/>
      <c r="E74" s="15" t="str">
        <f>INDEX(X_Table_Poultry_Stage2MMS_ManureStoredInHouse,5,1)</f>
        <v>Direct processing</v>
      </c>
      <c r="F74" s="15" cm="1">
        <f t="array" ref="F74">MMS_Poultry_AtmosphericDeposition_Equations.VEERG_4_6_1_5__2_TotalNitrogenVolatilisedFromMMS(F39, _xlfn.XLOOKUP($E74, $D$45:$D$52, $E$45:$E$52))</f>
        <v>0</v>
      </c>
      <c r="G74" s="15" cm="1">
        <f t="array" ref="G74">MMS_Poultry_AtmosphericDeposition_Equations.VEERG_4_6_1_5__2_TotalNitrogenVolatilisedFromMMS(G39, _xlfn.XLOOKUP($E74, $D$45:$D$52, $E$45:$E$52))</f>
        <v>0</v>
      </c>
      <c r="H74" s="15" cm="1">
        <f t="array" ref="H74">MMS_Poultry_AtmosphericDeposition_Equations.VEERG_4_6_1_5__2_TotalNitrogenVolatilisedFromMMS(H39, _xlfn.XLOOKUP($E74, $D$45:$D$52, $E$45:$E$52))</f>
        <v>0</v>
      </c>
      <c r="I74" s="15" cm="1">
        <f t="array" ref="I74">MMS_Poultry_AtmosphericDeposition_Equations.VEERG_4_6_1_5__2_TotalNitrogenVolatilisedFromMMS(I39, _xlfn.XLOOKUP($E74, $D$45:$D$52, $E$45:$E$52))</f>
        <v>0</v>
      </c>
      <c r="J74" s="16"/>
      <c r="N74" s="15"/>
      <c r="O74" s="15" t="str">
        <f>INDEX(X_Table_Poultry_Stage2MMS_ManureStoredInHouse,5,1)</f>
        <v>Direct processing</v>
      </c>
      <c r="P74" s="15" cm="1">
        <f t="array" ref="P74">MMS_Poultry_AtmosphericDeposition_Equations.VEERG_4_6_1_5__2_TotalNitrogenVolatilisedFromMMS(P39, _xlfn.XLOOKUP($O74, $D$45:$D$52, $E$45:$E$52))</f>
        <v>0</v>
      </c>
      <c r="Q74" s="15" cm="1">
        <f t="array" ref="Q74">MMS_Poultry_AtmosphericDeposition_Equations.VEERG_4_6_1_5__2_TotalNitrogenVolatilisedFromMMS(Q39, _xlfn.XLOOKUP($O74, $D$45:$D$52, $E$45:$E$52))</f>
        <v>0</v>
      </c>
      <c r="R74" s="15" cm="1">
        <f t="array" ref="R74">MMS_Poultry_AtmosphericDeposition_Equations.VEERG_4_6_1_5__2_TotalNitrogenVolatilisedFromMMS(R39, _xlfn.XLOOKUP($O74, $D$45:$D$52, $E$45:$E$52))</f>
        <v>0</v>
      </c>
      <c r="S74" s="15" cm="1">
        <f t="array" ref="S74">MMS_Poultry_AtmosphericDeposition_Equations.VEERG_4_6_1_5__2_TotalNitrogenVolatilisedFromMMS(S39, _xlfn.XLOOKUP($O74, $D$45:$D$52, $E$45:$E$52))</f>
        <v>0</v>
      </c>
      <c r="T74" s="16"/>
    </row>
    <row r="75" spans="1:21" ht="20.100000000000001" customHeight="1" x14ac:dyDescent="0.2">
      <c r="D75" s="15"/>
      <c r="E75" s="15" t="str">
        <f>INDEX(X_Table_Poultry_Stage2MMS_ManureStoredInHouse,6,1)</f>
        <v>Direct application</v>
      </c>
      <c r="F75" s="15" t="s">
        <v>124</v>
      </c>
      <c r="G75" s="15" t="s">
        <v>124</v>
      </c>
      <c r="H75" s="15" t="s">
        <v>124</v>
      </c>
      <c r="I75" s="15" t="s">
        <v>124</v>
      </c>
      <c r="N75" s="15"/>
      <c r="O75" s="15" t="str">
        <f>INDEX(X_Table_Poultry_Stage2MMS_ManureStoredInHouse,6,1)</f>
        <v>Direct application</v>
      </c>
      <c r="P75" s="15" t="s">
        <v>124</v>
      </c>
      <c r="Q75" s="15" t="s">
        <v>124</v>
      </c>
      <c r="R75" s="15" t="s">
        <v>124</v>
      </c>
      <c r="S75" s="15" t="s">
        <v>124</v>
      </c>
    </row>
    <row r="77" spans="1:21" ht="20.100000000000001" customHeight="1" x14ac:dyDescent="0.2">
      <c r="D77" s="88" t="s">
        <v>434</v>
      </c>
      <c r="E77" s="83">
        <f>SUM(F57:I75)</f>
        <v>20.797764249600011</v>
      </c>
      <c r="F77" s="89" t="str">
        <f>$E$11</f>
        <v>kg N</v>
      </c>
      <c r="N77" s="88" t="s">
        <v>434</v>
      </c>
      <c r="O77" s="83">
        <f>SUM(P57:S75)</f>
        <v>20.797764249600011</v>
      </c>
      <c r="P77" s="89" t="str">
        <f>$E$11</f>
        <v>kg N</v>
      </c>
    </row>
    <row r="80" spans="1:21" ht="20.100000000000001" customHeight="1" x14ac:dyDescent="0.2">
      <c r="C80" s="83"/>
      <c r="D80" s="83"/>
      <c r="E80" s="83"/>
      <c r="F80" s="83"/>
      <c r="G80" s="83"/>
      <c r="H80" s="83"/>
      <c r="I80" s="83"/>
      <c r="J80" s="83"/>
      <c r="K80" s="83"/>
      <c r="M80" s="83"/>
      <c r="N80" s="83"/>
      <c r="O80" s="83"/>
      <c r="P80" s="83"/>
      <c r="Q80" s="83"/>
      <c r="R80" s="83"/>
      <c r="S80" s="83"/>
      <c r="T80" s="83"/>
      <c r="U80" s="83"/>
    </row>
    <row r="81" spans="4:19" ht="20.100000000000001" customHeight="1" x14ac:dyDescent="0.2">
      <c r="D81" s="2"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
      <c r="D82" s="17" t="str" cm="1">
        <f t="array" ref="D82">MMS_Poultry_AtmosphericDeposition_Equations.VEERG_4_6_1_5__1_TotalAnnualAtmosphericDepositionEmissionsFromMMS_Source()</f>
        <v>VEERG 2026: 4.6.1.5, Equation (1)</v>
      </c>
    </row>
    <row r="83" spans="4:19" ht="20.100000000000001" customHeight="1" x14ac:dyDescent="0.2">
      <c r="D83" s="112" t="s">
        <v>328</v>
      </c>
      <c r="E83" s="112" t="str">
        <f ca="1">Common_InputFunctions.Utility_DisplayFunctionName(VEERG_4_6_1_5__1_TotalAnnualAtmosphericDepositionEmissionsFromMMS_Result_Method1)</f>
        <v>=MMS_Poultry_AtmosphericDeposition_Equations.VEERG_4_6_1_5__1_TotalAnnualAtmosphericDepositionEmissionsFromMMS</v>
      </c>
    </row>
    <row r="86" spans="4:19" ht="20.100000000000001" customHeight="1" x14ac:dyDescent="0.2">
      <c r="D86" s="75" t="s">
        <v>329</v>
      </c>
      <c r="E86" s="1" t="str" cm="1">
        <f t="array" ref="E86">MMS_Poultry_AtmosphericDeposition_Equations.VEERG_4_6_1_5__1_TotalAnnualAtmosphericDepositionEmissionsFromMMS_Variable()</f>
        <v>E_N2Oad</v>
      </c>
    </row>
    <row r="87" spans="4:19" ht="20.100000000000001" customHeight="1" x14ac:dyDescent="0.2">
      <c r="D87" s="75" t="s">
        <v>118</v>
      </c>
      <c r="E87" s="9" t="str" cm="1">
        <f t="array" ref="E87">MMS_Poultry_AtmosphericDeposition_Equations.VEERG_4_6_1_5__1_TotalAnnualAtmosphericDepositionEmissionsFromMMS_Unit()</f>
        <v>t N2O</v>
      </c>
    </row>
    <row r="89" spans="4:19" ht="20.100000000000001" customHeight="1" x14ac:dyDescent="0.2">
      <c r="D89" s="113" t="str" cm="1">
        <f t="array" ref="D89:E94">_xlfn.CHOOSECOLS(MMS_Poultry_AtmosphericDeposition_Equations.VEERG_4_6_1_5__1_TotalAnnualAtmosphericDepositionEmissionsFromMMS_Arguments(),1,2)</f>
        <v>MMS_ATMOS</v>
      </c>
      <c r="E89" s="122" t="str">
        <v>mass of N volatilised from MMS</v>
      </c>
      <c r="F89" s="123"/>
      <c r="G89" s="113" t="str" cm="1">
        <f t="array" ref="G89:H94">_xlfn.CHOOSECOLS(MMS_Poultry_AtmosphericDeposition_Equations.VEERG_4_6_1_5__1_TotalAnnualAtmosphericDepositionEmissionsFromMMS_Arguments(),3,4)</f>
        <v>kg N</v>
      </c>
      <c r="H89" s="115" t="str">
        <v>Calculated from 4.6.1.5 (2)</v>
      </c>
      <c r="I89" s="113">
        <f>$E$77</f>
        <v>20.797764249600011</v>
      </c>
      <c r="N89" s="113" t="str" cm="1">
        <f t="array" ref="N89:O94">_xlfn.CHOOSECOLS(MMS_Poultry_AtmosphericDeposition_Equations.VEERG_4_6_1_5__1_TotalAnnualAtmosphericDepositionEmissionsFromMMS_Arguments(),1,2)</f>
        <v>MMS_ATMOS</v>
      </c>
      <c r="O89" s="122" t="str">
        <v>mass of N volatilised from MMS</v>
      </c>
      <c r="P89" s="123"/>
      <c r="Q89" s="113" t="str" cm="1">
        <f t="array" ref="Q89:R94">_xlfn.CHOOSECOLS(MMS_Poultry_AtmosphericDeposition_Equations.VEERG_4_6_1_5__1_TotalAnnualAtmosphericDepositionEmissionsFromMMS_Arguments(),3,4)</f>
        <v>kg N</v>
      </c>
      <c r="R89" s="115" t="str">
        <v>Calculated from 4.6.1.5 (2)</v>
      </c>
      <c r="S89" s="113">
        <f>O77</f>
        <v>20.797764249600011</v>
      </c>
    </row>
    <row r="90" spans="4:19" ht="20.100000000000001" customHeight="1" x14ac:dyDescent="0.2">
      <c r="D90" s="113" t="str">
        <v>EF_N2O</v>
      </c>
      <c r="E90" s="122" t="str">
        <v>nitrous oxide emission factor for atmospheric deposition</v>
      </c>
      <c r="F90" s="123"/>
      <c r="G90" s="113" t="str">
        <v>kg N2O-N/kg N</v>
      </c>
      <c r="H90" s="115" t="str">
        <v>Constant</v>
      </c>
      <c r="I90" s="113">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13" t="str">
        <v>EF_N2O</v>
      </c>
      <c r="O90" s="122" t="str">
        <v>nitrous oxide emission factor for atmospheric deposition</v>
      </c>
      <c r="P90" s="123"/>
      <c r="Q90" s="113" t="str">
        <v>kg N2O-N/kg N</v>
      </c>
      <c r="R90" s="115" t="str">
        <v>Constant</v>
      </c>
      <c r="S90" s="113"/>
    </row>
    <row r="91" spans="4:19" ht="20.100000000000001" customHeight="1" x14ac:dyDescent="0.2">
      <c r="D91" s="113" t="str">
        <v>C_N2O</v>
      </c>
      <c r="E91" s="122" t="str">
        <v>factor to convert elemental mass of nitrous oxide to molecular mass</v>
      </c>
      <c r="F91" s="123"/>
      <c r="G91" s="113" t="str">
        <v>ratio</v>
      </c>
      <c r="H91" s="115" t="str">
        <v>Constant</v>
      </c>
      <c r="I91" s="113">
        <f>Common_InputFunctions.Utility_LookupValueInTableNumber("N2O",Table_GasToMolecularConversionFactor[Gas],Table_GasToMolecularConversionFactor[Conversion factor combined])</f>
        <v>1.5714285714285714</v>
      </c>
      <c r="N91" s="113" t="str">
        <v>C_N2O</v>
      </c>
      <c r="O91" s="122" t="str">
        <v>factor to convert elemental mass of nitrous oxide to molecular mass</v>
      </c>
      <c r="P91" s="123"/>
      <c r="Q91" s="113" t="str">
        <v>ratio</v>
      </c>
      <c r="R91" s="115" t="str">
        <v>Constant</v>
      </c>
      <c r="S91" s="113"/>
    </row>
    <row r="92" spans="4:19" ht="20.100000000000001" customHeight="1" x14ac:dyDescent="0.2">
      <c r="D92" s="113" t="str">
        <v>j</v>
      </c>
      <c r="E92" s="122" t="str">
        <v>production system</v>
      </c>
      <c r="F92" s="123"/>
      <c r="G92" s="113" t="str">
        <v/>
      </c>
      <c r="H92" s="114" t="str">
        <v>Input</v>
      </c>
      <c r="I92" s="113" t="str">
        <f>X_Cell_Poultry_ManureAppliedProductionSystem</f>
        <v>Crop</v>
      </c>
      <c r="N92" s="113" t="str">
        <v>j</v>
      </c>
      <c r="O92" s="122" t="str">
        <v>production system</v>
      </c>
      <c r="P92" s="123"/>
      <c r="Q92" s="113" t="str">
        <v/>
      </c>
      <c r="R92" s="114" t="str">
        <v>Input</v>
      </c>
      <c r="S92" s="113"/>
    </row>
    <row r="93" spans="4:19" ht="20.100000000000001" customHeight="1" x14ac:dyDescent="0.2">
      <c r="D93" s="113" t="str">
        <v>ir</v>
      </c>
      <c r="E93" s="122" t="str">
        <v>irrigation method</v>
      </c>
      <c r="F93" s="123"/>
      <c r="G93" s="113" t="str">
        <v/>
      </c>
      <c r="H93" s="114" t="str">
        <v>Input</v>
      </c>
      <c r="I93" s="113" t="str">
        <f>X_Cell_Poultry_ManureAppliedIrrigationMethod</f>
        <v>Sprinkler irrigation</v>
      </c>
      <c r="N93" s="113" t="str">
        <v>ir</v>
      </c>
      <c r="O93" s="122" t="str">
        <v>irrigation method</v>
      </c>
      <c r="P93" s="123"/>
      <c r="Q93" s="113" t="str">
        <v/>
      </c>
      <c r="R93" s="114" t="str">
        <v>Input</v>
      </c>
      <c r="S93" s="113"/>
    </row>
    <row r="94" spans="4:19" ht="20.100000000000001" customHeight="1" x14ac:dyDescent="0.2">
      <c r="D94" s="113" t="str">
        <v>r</v>
      </c>
      <c r="E94" s="122" t="str">
        <v>rainfall region</v>
      </c>
      <c r="F94" s="123"/>
      <c r="G94" s="113" t="str">
        <v/>
      </c>
      <c r="H94" s="114" t="str">
        <v>Input</v>
      </c>
      <c r="I94" s="113" t="str">
        <f>X_Cell_Site_RainfallZone</f>
        <v>High rainfall</v>
      </c>
      <c r="N94" s="113" t="str">
        <v>r</v>
      </c>
      <c r="O94" s="122" t="str">
        <v>rainfall region</v>
      </c>
      <c r="P94" s="123"/>
      <c r="Q94" s="113" t="str">
        <v/>
      </c>
      <c r="R94" s="114" t="str">
        <v>Input</v>
      </c>
      <c r="S94" s="113"/>
    </row>
    <row r="96" spans="4:19" ht="20.100000000000001" customHeight="1" x14ac:dyDescent="0.2">
      <c r="D96" s="85" t="s">
        <v>435</v>
      </c>
      <c r="E96" s="86" cm="1">
        <f t="array" ref="E96">MMS_Poultry_AtmosphericDeposition_Equations.VEERG_4_6_1_5__1_TotalAnnualAtmosphericDepositionEmissionsFromMMS(I89,$I$90,$I$91)</f>
        <v>2.2877540674560014E-4</v>
      </c>
      <c r="F96" s="95" t="str">
        <f>$E$87</f>
        <v>t N2O</v>
      </c>
      <c r="N96" s="85" t="s">
        <v>435</v>
      </c>
      <c r="O96" s="86" cm="1">
        <f t="array" ref="O96">MMS_Poultry_AtmosphericDeposition_Equations.VEERG_4_6_1_5__1_TotalAnnualAtmosphericDepositionEmissionsFromMMS(S89,$I$90,$I$91)</f>
        <v>2.2877540674560014E-4</v>
      </c>
      <c r="P96" s="95" t="str">
        <f>$E$87</f>
        <v>t N2O</v>
      </c>
    </row>
    <row r="98" spans="1:17" ht="20.100000000000001" customHeight="1" x14ac:dyDescent="0.2">
      <c r="A98" s="79" t="str">
        <f>HYPERLINK("#A1", "▲ Back to top")</f>
        <v>▲ Back to top</v>
      </c>
      <c r="D98" s="126" t="str" cm="1">
        <f t="array" ref="D98:E99">Common_Equations.Common_ConvertN2OToCO2e_Arguments()</f>
        <v>EN2O</v>
      </c>
      <c r="E98" s="129" t="str">
        <v>Nitrous oxide emissions (t N2O)</v>
      </c>
      <c r="F98" s="130"/>
      <c r="G98" s="15">
        <f>VEERG_4_6_1_5__1_TotalAnnualAtmosphericDepositionEmissionsFromMMS_Result_Method1</f>
        <v>2.2877540674560014E-4</v>
      </c>
      <c r="N98" s="126" t="str" cm="1">
        <f t="array" ref="N98:O99">Common_Equations.Common_ConvertN2OToCO2e_Arguments()</f>
        <v>EN2O</v>
      </c>
      <c r="O98" s="129" t="str">
        <v>Nitrous oxide emissions (t N2O)</v>
      </c>
      <c r="P98" s="130"/>
      <c r="Q98" s="15">
        <f>VEERG_4_6_1_5__1_TotalAnnualAtmosphericDepositionEmissionsFromMMS_Result_Method2</f>
        <v>2.2877540674560014E-4</v>
      </c>
    </row>
    <row r="99" spans="1:17" ht="20.100000000000001" customHeight="1" x14ac:dyDescent="0.2">
      <c r="D99" s="126" t="str">
        <v>GWPN2O</v>
      </c>
      <c r="E99" s="129" t="str">
        <v>Global warming potential for nitrous oxide (t CO2-e / t N2O)</v>
      </c>
      <c r="F99" s="130"/>
      <c r="G99" s="15">
        <f>Common_InputFunctions.Utility_LookupValueInTableNumber("N2O", Table_GWPData[Gas],Table_GWPData[CO2-e factor])</f>
        <v>265</v>
      </c>
      <c r="N99" s="126" t="str">
        <v>GWPN2O</v>
      </c>
      <c r="O99" s="129" t="str">
        <v>Global warming potential for nitrous oxide (t CO2-e / t N2O)</v>
      </c>
      <c r="P99" s="130"/>
      <c r="Q99" s="15">
        <f>Common_InputFunctions.Utility_LookupValueInTableNumber("N2O", Table_GWPData[Gas],Table_GWPData[CO2-e factor])</f>
        <v>265</v>
      </c>
    </row>
    <row r="101" spans="1:17" ht="20.100000000000001" customHeight="1" x14ac:dyDescent="0.2">
      <c r="D101" s="83" t="s">
        <v>377</v>
      </c>
      <c r="E101" s="83" cm="1">
        <f t="array" ref="E101">Common_Equations.Common_ConvertN2OToCO2e(G98,G99)</f>
        <v>6.0625482787584034E-2</v>
      </c>
      <c r="F101" s="89" t="str" cm="1">
        <f t="array" ref="F101">Common_Equations.Common_ConvertN2OToCO2e_Unit()</f>
        <v>t CO2e</v>
      </c>
      <c r="N101" s="83" t="s">
        <v>377</v>
      </c>
      <c r="O101" s="83" cm="1">
        <f t="array" ref="O101">Common_Equations.Common_ConvertN2OToCO2e(Q98,Q99)</f>
        <v>6.0625482787584034E-2</v>
      </c>
      <c r="P101" s="89" t="str" cm="1">
        <f t="array" ref="P101">Common_Equations.Common_ConvertN2OToCO2e_Unit()</f>
        <v>t CO2e</v>
      </c>
    </row>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D855B-B429-4BC6-9D62-F8138B8B8059}">
  <sheetPr>
    <tabColor rgb="FF008000"/>
  </sheetPr>
  <dimension ref="A1:U64"/>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436</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
      <c r="D6" s="17" t="str" cm="1">
        <f t="array" ref="D6">MMS_Poultry_LeachingAndRunoff_Equations.VEERG_4_6_1_7__2_MassOfNitrogenLostToLeachingAndRunoffFromSolidStorage_Source()</f>
        <v>VEERG 2026: 4.6.1.7, Equation (2)</v>
      </c>
    </row>
    <row r="7" spans="1:21" ht="20.100000000000001" customHeight="1" x14ac:dyDescent="0.2">
      <c r="D7" s="112" t="s">
        <v>328</v>
      </c>
      <c r="E7" s="112" t="str" cm="1">
        <f t="array" aca="1" ref="E7" ca="1">Common_InputFunctions.Utility_DisplayFunctionName(F34)</f>
        <v>=MMS_Poultry_LeachingAndRunoff_Equations.VEERG_4_6_1_7__2_MassOfNitrogenLostToLeachingAndRunoffFromSolidStorage</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MMS_Poultry_LeachingAndRunoff_Equations.VEERG_4_6_1_7__2_MassOfNitrogenLostToLeachingAndRunoffFromSolidStorage_Variable()</f>
        <v>MNLeach_jkm4</v>
      </c>
    </row>
    <row r="11" spans="1:21" ht="20.100000000000001" customHeight="1" x14ac:dyDescent="0.2">
      <c r="A11" s="5" t="str">
        <f>HYPERLINK("#'Input - Poultry'!A1", "Poultry")</f>
        <v>Poultry</v>
      </c>
      <c r="D11" s="75" t="s">
        <v>118</v>
      </c>
      <c r="E11" s="9" t="str" cm="1">
        <f t="array" ref="E11">MMS_Poultry_LeachingAndRunoff_Equations.VEERG_4_6_1_7__2_MassOfNitrogenLostToLeachingAndRunoffFromSolidStorage_Unit()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18">_xlfn.CHOOSECOLS(MMS_Poultry_LeachingAndRunoff_Equations.VEERG_4_6_1_7__2_MassOfNitrogenLostToLeachingAndRunoffFromSolidStorage_Arguments(),1,2)</f>
        <v>MN_jkm4T2</v>
      </c>
      <c r="E13" s="122" t="str">
        <v>nitrogen in solid storage MMS treatment stage 2</v>
      </c>
      <c r="F13" s="123"/>
      <c r="G13" s="113" t="str" cm="1">
        <f t="array" ref="G13:H18">_xlfn.CHOOSECOLS(MMS_Poultry_LeachingAndRunoff_Equations.VEERG_4_6_1_7__2_MassOfNitrogenLostToLeachingAndRunoffFromSolidStorage_Arguments(),3,4)</f>
        <v>kg N</v>
      </c>
      <c r="H13" s="115" t="str">
        <v>Calculated from 4.6.1.3 (6)</v>
      </c>
      <c r="I13" s="116" t="str" cm="1">
        <f t="array" aca="1" ref="I13" ca="1">HYPERLINK(Common_InputFunctions.Utility_SourceHyperlink($D$24),$D$24)</f>
        <v>M1_Table_MN_j_k_m-4</v>
      </c>
    </row>
    <row r="14" spans="1:21" ht="20.100000000000001" customHeight="1" x14ac:dyDescent="0.2">
      <c r="A14" s="5" t="str">
        <f>HYPERLINK("#'Input - Fuel'!A1", "Fuel")</f>
        <v>Fuel</v>
      </c>
      <c r="D14" s="113" t="str">
        <v>FracWET</v>
      </c>
      <c r="E14" s="122" t="str">
        <v>fraction of N available for leaching and runoff</v>
      </c>
      <c r="F14" s="123"/>
      <c r="G14" s="113" t="str">
        <v>fraction</v>
      </c>
      <c r="H14" s="115" t="str">
        <v>Constant</v>
      </c>
      <c r="I14" s="113">
        <f>Common_InputFunctions.CommonCropping_GetFracWET(I16,I18,Table_SourceData_FracWET[Is in leaching zone],Table_SourceData_FracWET[FracWET],Table_SourceData_FracWETIrrigation[Irrigation type i],Table_SourceData_FracWETIrrigation[FracWET])</f>
        <v>1</v>
      </c>
    </row>
    <row r="15" spans="1:21" ht="20.100000000000001" customHeight="1" x14ac:dyDescent="0.2">
      <c r="A15" s="5" t="str">
        <f>HYPERLINK("#'Input - Electricity'!A1", "Electricity")</f>
        <v>Electricity</v>
      </c>
      <c r="D15" s="113" t="str">
        <v>FracLEACH_MS</v>
      </c>
      <c r="E15" s="122" t="str">
        <v>fraction of N lost through leaching and runoff</v>
      </c>
      <c r="F15" s="123"/>
      <c r="G15" s="113" t="str">
        <v>fraction</v>
      </c>
      <c r="H15" s="115" t="str">
        <v>Constant</v>
      </c>
      <c r="I15" s="113">
        <f>SourceData_Poultry_FractionOfNitrogenLostThroughLeachingAndRunoff_Data</f>
        <v>0.02</v>
      </c>
    </row>
    <row r="16" spans="1:21" ht="20.100000000000001" customHeight="1" x14ac:dyDescent="0.2">
      <c r="A16" s="5" t="str">
        <f>HYPERLINK("#'Input - Common farm inputs'!A1", "Common farm inputs")</f>
        <v>Common farm inputs</v>
      </c>
      <c r="D16" s="113" t="str">
        <v>z</v>
      </c>
      <c r="E16" s="122" t="str">
        <v>location in leaching zone</v>
      </c>
      <c r="F16" s="123"/>
      <c r="G16" s="113" t="str">
        <v/>
      </c>
      <c r="H16" s="114" t="str">
        <v>Input</v>
      </c>
      <c r="I16" s="113" t="str">
        <f>X_Cell_Site_LeachingZone</f>
        <v>NO - Not in leaching zone</v>
      </c>
    </row>
    <row r="17" spans="1:20" ht="20.100000000000001" customHeight="1" x14ac:dyDescent="0.2">
      <c r="A17" s="5" t="str">
        <f>HYPERLINK("#'Input - Livestock farm Inputs'!A1", "Livestock farm Inputs")</f>
        <v>Livestock farm Inputs</v>
      </c>
      <c r="D17" s="113" t="str">
        <v>j</v>
      </c>
      <c r="E17" s="122" t="str">
        <v>production system</v>
      </c>
      <c r="F17" s="123"/>
      <c r="G17" s="113" t="str">
        <v/>
      </c>
      <c r="H17" s="114" t="str">
        <v>Input</v>
      </c>
      <c r="I17" s="113" t="str">
        <f>X_Cell_Poultry_ManureAppliedProductionSystem</f>
        <v>Crop</v>
      </c>
    </row>
    <row r="18" spans="1:20" ht="20.100000000000001" customHeight="1" x14ac:dyDescent="0.2">
      <c r="A18" s="5" t="str">
        <f>HYPERLINK("#'Input - Freight'!A1", "Freight")</f>
        <v>Freight</v>
      </c>
      <c r="D18" s="113" t="str">
        <v>ir</v>
      </c>
      <c r="E18" s="122" t="str">
        <v>irrigation method</v>
      </c>
      <c r="F18" s="123"/>
      <c r="G18" s="113" t="str">
        <v/>
      </c>
      <c r="H18" s="114" t="str">
        <v>Input</v>
      </c>
      <c r="I18" s="113" t="str">
        <f>X_Cell_Poultry_ManureAppliedIrrigationMethod</f>
        <v>Sprinkler irrigation</v>
      </c>
    </row>
    <row r="19" spans="1:20" ht="20.100000000000001" customHeight="1" x14ac:dyDescent="0.2">
      <c r="A19" s="5" t="str">
        <f>HYPERLINK("#'Input - Solid waste'!A1", "Solid waste")</f>
        <v>Solid waste</v>
      </c>
    </row>
    <row r="20" spans="1:20" ht="20.100000000000001" customHeight="1" x14ac:dyDescent="0.2">
      <c r="A20" s="5" t="str">
        <f>HYPERLINK("#'Input - Manure sent off-site'!A1", "Manure sent off-site")</f>
        <v>Manure sent off-site</v>
      </c>
      <c r="D20" s="131" t="s">
        <v>437</v>
      </c>
      <c r="E20" s="43"/>
      <c r="F20" s="43"/>
      <c r="G20" s="43"/>
      <c r="H20" s="44"/>
    </row>
    <row r="21" spans="1:20" ht="20.100000000000001" customHeight="1" x14ac:dyDescent="0.2">
      <c r="A21" s="5" t="str">
        <f>HYPERLINK("#'Input - Data quality'!A1", "Data quality")</f>
        <v>Data quality</v>
      </c>
      <c r="D21" s="132" t="s">
        <v>438</v>
      </c>
      <c r="E21" s="133"/>
      <c r="F21" s="133"/>
      <c r="G21" s="133"/>
      <c r="H21" s="134"/>
    </row>
    <row r="22" spans="1:20" ht="20.100000000000001" customHeight="1" x14ac:dyDescent="0.2">
      <c r="A22" s="5" t="str">
        <f>HYPERLINK("#'Input - Fert Prod System'!A1", "Fert Prod System")</f>
        <v>Fert Prod System</v>
      </c>
      <c r="D22" s="45" t="s">
        <v>439</v>
      </c>
      <c r="E22" s="46"/>
      <c r="F22" s="46"/>
      <c r="G22" s="46"/>
      <c r="H22" s="47"/>
    </row>
    <row r="23" spans="1:20" ht="20.100000000000001" customHeight="1" x14ac:dyDescent="0.2">
      <c r="A23" s="5" t="str">
        <f>HYPERLINK("#'Input - Fertiliser'!A1", "Fertiliser")</f>
        <v>Fertiliser</v>
      </c>
    </row>
    <row r="24" spans="1:20" ht="20.100000000000001" customHeight="1" x14ac:dyDescent="0.2">
      <c r="D24" s="118" t="s">
        <v>440</v>
      </c>
      <c r="N24" s="118" t="s">
        <v>440</v>
      </c>
    </row>
    <row r="25" spans="1:20" ht="20.100000000000001" customHeight="1" x14ac:dyDescent="0.2">
      <c r="D25" s="119" t="s">
        <v>441</v>
      </c>
      <c r="N25" s="119" t="s">
        <v>441</v>
      </c>
    </row>
    <row r="26" spans="1:20" ht="20.100000000000001" customHeight="1" x14ac:dyDescent="0.2">
      <c r="A26" s="6" t="s">
        <v>2</v>
      </c>
      <c r="D26" s="120" t="s">
        <v>314</v>
      </c>
      <c r="E26" s="120" t="s">
        <v>318</v>
      </c>
      <c r="F26" s="120" t="s">
        <v>297</v>
      </c>
      <c r="G26" s="120" t="s">
        <v>298</v>
      </c>
      <c r="H26" s="120" t="s">
        <v>299</v>
      </c>
      <c r="I26" s="120" t="s">
        <v>300</v>
      </c>
      <c r="N26" s="120" t="s">
        <v>314</v>
      </c>
      <c r="O26" s="120" t="s">
        <v>318</v>
      </c>
      <c r="P26" s="120" t="s">
        <v>297</v>
      </c>
      <c r="Q26" s="120" t="s">
        <v>298</v>
      </c>
      <c r="R26" s="120" t="s">
        <v>299</v>
      </c>
      <c r="S26" s="120" t="s">
        <v>300</v>
      </c>
    </row>
    <row r="27" spans="1:20" ht="20.100000000000001" customHeight="1" x14ac:dyDescent="0.2">
      <c r="A27" s="5" t="str">
        <f>HYPERLINK("#'4.6.1.1-2 Methane'!A1", "4.6.1.1-2 Manure Methane")</f>
        <v>4.6.1.1-2 Manure Methane</v>
      </c>
      <c r="D27" s="15" t="str">
        <f>INDEX(X_Table_Poultry_Stage1MMS,2,1)</f>
        <v>Poultry manure with bedding</v>
      </c>
      <c r="E27" s="15" t="str">
        <f>INDEX(X_Table_Poultry_Stage2MMS_PoultryManureWithBedding,2,1)</f>
        <v>Solid storage</v>
      </c>
      <c r="F27" s="15">
        <f>INDEX(M1_Table_MN_j_k_m_T2,2,3)</f>
        <v>0.71271158400000012</v>
      </c>
      <c r="G27" s="15">
        <f>INDEX(M1_Table_MN_j_k_m_T2,2,4)</f>
        <v>0.76073791680000002</v>
      </c>
      <c r="H27" s="15">
        <f>INDEX(M1_Table_MN_j_k_m_T2,2,5)</f>
        <v>0.89299319039999991</v>
      </c>
      <c r="I27" s="15">
        <f>INDEX(M1_Table_MN_j_k_m_T2,2,6)</f>
        <v>0.76073791680000002</v>
      </c>
      <c r="J27" s="16" t="str">
        <f>$G$13</f>
        <v>kg N</v>
      </c>
      <c r="N27" s="15" t="str">
        <f>INDEX(X_Table_Poultry_Stage1MMS,2,1)</f>
        <v>Poultry manure with bedding</v>
      </c>
      <c r="O27" s="15" t="str">
        <f>INDEX(X_Table_Poultry_Stage2MMS_PoultryManureWithBedding,2,1)</f>
        <v>Solid storage</v>
      </c>
      <c r="P27" s="15">
        <f>INDEX(M2_Table_MN_j_k_m_T2,2,3)</f>
        <v>0.71271158400000012</v>
      </c>
      <c r="Q27" s="15">
        <f>INDEX(M2_Table_MN_j_k_m_T2,2,4)</f>
        <v>0.76073791680000002</v>
      </c>
      <c r="R27" s="15">
        <f>INDEX(M2_Table_MN_j_k_m_T2,2,5)</f>
        <v>0.89299319039999991</v>
      </c>
      <c r="S27" s="15">
        <f>INDEX(M2_Table_MN_j_k_m_T2,2,6)</f>
        <v>0.76073791680000002</v>
      </c>
      <c r="T27" s="16" t="str">
        <f>$G$13</f>
        <v>kg N</v>
      </c>
    </row>
    <row r="28" spans="1:20" ht="20.100000000000001" customHeight="1" x14ac:dyDescent="0.2">
      <c r="A28" s="5" t="str">
        <f>HYPERLINK("#'4.6.1.3-4 Direct N20'!A1", "4.6.1.3-4 Manure Direct N2O")</f>
        <v>4.6.1.3-4 Manure Direct N2O</v>
      </c>
      <c r="D28" s="15" t="str">
        <f>INDEX(X_Table_Poultry_Stage1MMS,3,1)</f>
        <v>Belt manure removal</v>
      </c>
      <c r="E28" s="15" t="str">
        <f>INDEX(X_Table_Poultry_Stage2MMS_BeltManureRemoval,2,1)</f>
        <v>Solid storage</v>
      </c>
      <c r="F28" s="15">
        <f>'4.6.1.3-4 Direct N20'!F194</f>
        <v>0.96761558400000025</v>
      </c>
      <c r="G28" s="15">
        <f>'4.6.1.3-4 Direct N20'!G194</f>
        <v>1.0328187168</v>
      </c>
      <c r="H28" s="15">
        <f>'4.6.1.3-4 Direct N20'!H194</f>
        <v>1.2123755904</v>
      </c>
      <c r="I28" s="15">
        <f>'4.6.1.3-4 Direct N20'!I194</f>
        <v>1.0328187168</v>
      </c>
      <c r="J28" s="16"/>
      <c r="N28" s="15" t="str">
        <f>INDEX(X_Table_Poultry_Stage1MMS,3,1)</f>
        <v>Belt manure removal</v>
      </c>
      <c r="O28" s="15" t="str">
        <f>INDEX(X_Table_Poultry_Stage2MMS_BeltManureRemoval,2,1)</f>
        <v>Solid storage</v>
      </c>
      <c r="P28" s="15">
        <f>'4.6.1.3-4 Direct N20'!P194</f>
        <v>0.96761558400000025</v>
      </c>
      <c r="Q28" s="15">
        <f>'4.6.1.3-4 Direct N20'!Q194</f>
        <v>1.0328187168</v>
      </c>
      <c r="R28" s="15">
        <f>'4.6.1.3-4 Direct N20'!R194</f>
        <v>1.2123755904</v>
      </c>
      <c r="S28" s="15">
        <f>'4.6.1.3-4 Direct N20'!S194</f>
        <v>1.0328187168</v>
      </c>
      <c r="T28" s="16"/>
    </row>
    <row r="29" spans="1:20" ht="20.100000000000001" customHeight="1" x14ac:dyDescent="0.2">
      <c r="A29" s="5" t="str">
        <f>HYPERLINK("#'4.6.1.5-6 Atmos Dep'!A1", "4.6.1.5-6 Manure Atmos Dep")</f>
        <v>4.6.1.5-6 Manure Atmos Dep</v>
      </c>
      <c r="D29" s="15" t="str">
        <f>INDEX(X_Table_Poultry_Stage1MMS,4,1)</f>
        <v>Manure stored in house</v>
      </c>
      <c r="E29" s="15" t="str">
        <f>INDEX(X_Table_Poultry_Stage2MMS_ManureStoredInHouse,2,1)</f>
        <v>Solid storage</v>
      </c>
      <c r="F29" s="15">
        <f>'4.6.1.3-4 Direct N20'!F199</f>
        <v>0.61074998400000013</v>
      </c>
      <c r="G29" s="15">
        <f>'4.6.1.3-4 Direct N20'!G199</f>
        <v>0.65190559679999993</v>
      </c>
      <c r="H29" s="15">
        <f>'4.6.1.3-4 Direct N20'!H199</f>
        <v>0.76524023039999989</v>
      </c>
      <c r="I29" s="15">
        <f>'4.6.1.3-4 Direct N20'!I199</f>
        <v>0.65190559679999993</v>
      </c>
      <c r="J29" s="16"/>
      <c r="N29" s="15" t="str">
        <f>INDEX(X_Table_Poultry_Stage1MMS,4,1)</f>
        <v>Manure stored in house</v>
      </c>
      <c r="O29" s="15" t="str">
        <f>INDEX(X_Table_Poultry_Stage2MMS_ManureStoredInHouse,2,1)</f>
        <v>Solid storage</v>
      </c>
      <c r="P29" s="15">
        <f>'4.6.1.3-4 Direct N20'!P199</f>
        <v>0.61074998400000013</v>
      </c>
      <c r="Q29" s="15">
        <f>'4.6.1.3-4 Direct N20'!Q199</f>
        <v>0.65190559679999993</v>
      </c>
      <c r="R29" s="15">
        <f>'4.6.1.3-4 Direct N20'!R199</f>
        <v>0.76524023039999989</v>
      </c>
      <c r="S29" s="15">
        <f>'4.6.1.3-4 Direct N20'!S199</f>
        <v>0.65190559679999993</v>
      </c>
      <c r="T29" s="16"/>
    </row>
    <row r="30" spans="1:20" ht="20.100000000000001" customHeight="1" x14ac:dyDescent="0.2">
      <c r="A30" s="117" t="str">
        <f>HYPERLINK("#'4.6.1.7-8 Leaching and runoff'!A1", "4.6.1.7-8 Manure Leaching and runoff")</f>
        <v>4.6.1.7-8 Manure Leaching and runoff</v>
      </c>
      <c r="J30" s="16"/>
      <c r="T30" s="16"/>
    </row>
    <row r="31" spans="1:20" ht="20.100000000000001" customHeight="1" x14ac:dyDescent="0.2">
      <c r="A31" s="5" t="str">
        <f>HYPERLINK("#'4.6.1.9 Manure applied to soils'!A1", "4.6.1.9 Manure applied to soils")</f>
        <v>4.6.1.9 Manure applied to soils</v>
      </c>
      <c r="D31" s="118" t="s">
        <v>442</v>
      </c>
      <c r="N31" s="118" t="s">
        <v>443</v>
      </c>
    </row>
    <row r="32" spans="1:20" ht="20.100000000000001" customHeight="1" x14ac:dyDescent="0.2">
      <c r="A32" s="5" t="str">
        <f>HYPERLINK("#'4.6.1.10-11 Soil direct N2O'!A1", "4.6.1.10-11 Soil direct N2O")</f>
        <v>4.6.1.10-11 Soil direct N2O</v>
      </c>
      <c r="D32" s="119" t="s">
        <v>444</v>
      </c>
      <c r="N32" s="119" t="s">
        <v>445</v>
      </c>
    </row>
    <row r="33" spans="1:21" ht="20.100000000000001" customHeight="1" x14ac:dyDescent="0.2">
      <c r="A33" s="5" t="str">
        <f>HYPERLINK("#'4.6.1.12-13 Soil atmos dep'!A1", "4.6.1.12-13 Soil atmos dep")</f>
        <v>4.6.1.12-13 Soil atmos dep</v>
      </c>
      <c r="D33" s="120" t="s">
        <v>314</v>
      </c>
      <c r="E33" s="120" t="s">
        <v>318</v>
      </c>
      <c r="F33" s="120" t="s">
        <v>297</v>
      </c>
      <c r="G33" s="120" t="s">
        <v>298</v>
      </c>
      <c r="H33" s="120" t="s">
        <v>299</v>
      </c>
      <c r="I33" s="120" t="s">
        <v>300</v>
      </c>
      <c r="N33" s="120" t="s">
        <v>314</v>
      </c>
      <c r="O33" s="120" t="s">
        <v>318</v>
      </c>
      <c r="P33" s="120" t="s">
        <v>297</v>
      </c>
      <c r="Q33" s="120" t="s">
        <v>298</v>
      </c>
      <c r="R33" s="120" t="s">
        <v>299</v>
      </c>
      <c r="S33" s="120" t="s">
        <v>300</v>
      </c>
    </row>
    <row r="34" spans="1:21" ht="20.100000000000001" customHeight="1" x14ac:dyDescent="0.2">
      <c r="A34" s="5" t="str">
        <f>HYPERLINK("#'4.6.1.14-15 Soil leach runoff'!A1", "4.6.1.14-15 Soil leach runoff")</f>
        <v>4.6.1.14-15 Soil leach runoff</v>
      </c>
      <c r="D34" s="15" t="str">
        <f>INDEX(X_Table_Poultry_Stage1MMS,2,1)</f>
        <v>Poultry manure with bedding</v>
      </c>
      <c r="E34" s="15" t="str">
        <f>INDEX(X_Table_Poultry_Stage2MMS_PoultryManureWithBedding,2,1)</f>
        <v>Solid storage</v>
      </c>
      <c r="F34" s="15" cm="1">
        <f t="array" ref="F34">MMS_Poultry_LeachingAndRunoff_Equations.VEERG_4_6_1_7__2_MassOfNitrogenLostToLeachingAndRunoffFromSolidStorage(F27,$I$14,$I$15)</f>
        <v>1.4254231680000003E-2</v>
      </c>
      <c r="G34" s="15" cm="1">
        <f t="array" ref="G34">MMS_Poultry_LeachingAndRunoff_Equations.VEERG_4_6_1_7__2_MassOfNitrogenLostToLeachingAndRunoffFromSolidStorage(G27,$I$14,$I$15)</f>
        <v>1.5214758336E-2</v>
      </c>
      <c r="H34" s="15" cm="1">
        <f t="array" ref="H34">MMS_Poultry_LeachingAndRunoff_Equations.VEERG_4_6_1_7__2_MassOfNitrogenLostToLeachingAndRunoffFromSolidStorage(H27,$I$14,$I$15)</f>
        <v>1.7859863808E-2</v>
      </c>
      <c r="I34" s="15" cm="1">
        <f t="array" ref="I34">MMS_Poultry_LeachingAndRunoff_Equations.VEERG_4_6_1_7__2_MassOfNitrogenLostToLeachingAndRunoffFromSolidStorage(I27,$I$14,$I$15)</f>
        <v>1.5214758336E-2</v>
      </c>
      <c r="J34" s="16" t="str">
        <f>$E$11</f>
        <v>kg N</v>
      </c>
      <c r="N34" s="15" t="str">
        <f>INDEX(X_Table_Poultry_Stage1MMS,2,1)</f>
        <v>Poultry manure with bedding</v>
      </c>
      <c r="O34" s="15" t="str">
        <f>INDEX(X_Table_Poultry_Stage2MMS_PoultryManureWithBedding,2,1)</f>
        <v>Solid storage</v>
      </c>
      <c r="P34" s="15" cm="1">
        <f t="array" ref="P34">MMS_Poultry_LeachingAndRunoff_Equations.VEERG_4_6_1_7__2_MassOfNitrogenLostToLeachingAndRunoffFromSolidStorage(P27,$I$14,$I$15)</f>
        <v>1.4254231680000003E-2</v>
      </c>
      <c r="Q34" s="15" cm="1">
        <f t="array" ref="Q34">MMS_Poultry_LeachingAndRunoff_Equations.VEERG_4_6_1_7__2_MassOfNitrogenLostToLeachingAndRunoffFromSolidStorage(Q27,$I$14,$I$15)</f>
        <v>1.5214758336E-2</v>
      </c>
      <c r="R34" s="15" cm="1">
        <f t="array" ref="R34">MMS_Poultry_LeachingAndRunoff_Equations.VEERG_4_6_1_7__2_MassOfNitrogenLostToLeachingAndRunoffFromSolidStorage(R27,$I$14,$I$15)</f>
        <v>1.7859863808E-2</v>
      </c>
      <c r="S34" s="15" cm="1">
        <f t="array" ref="S34">MMS_Poultry_LeachingAndRunoff_Equations.VEERG_4_6_1_7__2_MassOfNitrogenLostToLeachingAndRunoffFromSolidStorage(S27,$I$14,$I$15)</f>
        <v>1.5214758336E-2</v>
      </c>
      <c r="T34" s="16" t="str">
        <f>$E$11</f>
        <v>kg N</v>
      </c>
    </row>
    <row r="35" spans="1:21" ht="20.100000000000001" customHeight="1" x14ac:dyDescent="0.2">
      <c r="A35" s="5" t="str">
        <f>HYPERLINK("#'8.1.1.1-2 Transport fuel'!A1", "8.1.1.1-2 Transport fuel")</f>
        <v>8.1.1.1-2 Transport fuel</v>
      </c>
      <c r="D35" s="15" t="str">
        <f>INDEX(X_Table_Poultry_Stage1MMS,3,1)</f>
        <v>Belt manure removal</v>
      </c>
      <c r="E35" s="15" t="str">
        <f>INDEX(X_Table_Poultry_Stage2MMS_BeltManureRemoval,2,1)</f>
        <v>Solid storage</v>
      </c>
      <c r="F35" s="15" cm="1">
        <f t="array" ref="F35">MMS_Poultry_LeachingAndRunoff_Equations.VEERG_4_6_1_7__2_MassOfNitrogenLostToLeachingAndRunoffFromSolidStorage(F28,$I$14,$I$15)</f>
        <v>1.9352311680000005E-2</v>
      </c>
      <c r="G35" s="15" cm="1">
        <f t="array" ref="G35">MMS_Poultry_LeachingAndRunoff_Equations.VEERG_4_6_1_7__2_MassOfNitrogenLostToLeachingAndRunoffFromSolidStorage(G28,$I$14,$I$15)</f>
        <v>2.0656374336E-2</v>
      </c>
      <c r="H35" s="15" cm="1">
        <f t="array" ref="H35">MMS_Poultry_LeachingAndRunoff_Equations.VEERG_4_6_1_7__2_MassOfNitrogenLostToLeachingAndRunoffFromSolidStorage(H28,$I$14,$I$15)</f>
        <v>2.4247511808E-2</v>
      </c>
      <c r="I35" s="15" cm="1">
        <f t="array" ref="I35">MMS_Poultry_LeachingAndRunoff_Equations.VEERG_4_6_1_7__2_MassOfNitrogenLostToLeachingAndRunoffFromSolidStorage(I28,$I$14,$I$15)</f>
        <v>2.0656374336E-2</v>
      </c>
      <c r="J35" s="16"/>
      <c r="N35" s="15" t="str">
        <f>INDEX(X_Table_Poultry_Stage1MMS,3,1)</f>
        <v>Belt manure removal</v>
      </c>
      <c r="O35" s="15" t="str">
        <f>INDEX(X_Table_Poultry_Stage2MMS_BeltManureRemoval,2,1)</f>
        <v>Solid storage</v>
      </c>
      <c r="P35" s="15" cm="1">
        <f t="array" ref="P35">MMS_Poultry_LeachingAndRunoff_Equations.VEERG_4_6_1_7__2_MassOfNitrogenLostToLeachingAndRunoffFromSolidStorage(P28,$I$14,$I$15)</f>
        <v>1.9352311680000005E-2</v>
      </c>
      <c r="Q35" s="15" cm="1">
        <f t="array" ref="Q35">MMS_Poultry_LeachingAndRunoff_Equations.VEERG_4_6_1_7__2_MassOfNitrogenLostToLeachingAndRunoffFromSolidStorage(Q28,$I$14,$I$15)</f>
        <v>2.0656374336E-2</v>
      </c>
      <c r="R35" s="15" cm="1">
        <f t="array" ref="R35">MMS_Poultry_LeachingAndRunoff_Equations.VEERG_4_6_1_7__2_MassOfNitrogenLostToLeachingAndRunoffFromSolidStorage(R28,$I$14,$I$15)</f>
        <v>2.4247511808E-2</v>
      </c>
      <c r="S35" s="15" cm="1">
        <f t="array" ref="S35">MMS_Poultry_LeachingAndRunoff_Equations.VEERG_4_6_1_7__2_MassOfNitrogenLostToLeachingAndRunoffFromSolidStorage(S28,$I$14,$I$15)</f>
        <v>2.0656374336E-2</v>
      </c>
      <c r="T35" s="16"/>
    </row>
    <row r="36" spans="1:21" ht="20.100000000000001" customHeight="1" x14ac:dyDescent="0.2">
      <c r="A36" s="5" t="str">
        <f>HYPERLINK("#'8.2.1.1-2 Stationary fuel'!A1", "8.2.1.1-2 Stationary fuel")</f>
        <v>8.2.1.1-2 Stationary fuel</v>
      </c>
      <c r="D36" s="15" t="str">
        <f>INDEX(X_Table_Poultry_Stage1MMS,4,1)</f>
        <v>Manure stored in house</v>
      </c>
      <c r="E36" s="15" t="str">
        <f>INDEX(X_Table_Poultry_Stage2MMS_ManureStoredInHouse,2,1)</f>
        <v>Solid storage</v>
      </c>
      <c r="F36" s="15" cm="1">
        <f t="array" ref="F36">MMS_Poultry_LeachingAndRunoff_Equations.VEERG_4_6_1_7__2_MassOfNitrogenLostToLeachingAndRunoffFromSolidStorage(F29,$I$14,$I$15)</f>
        <v>1.2214999680000003E-2</v>
      </c>
      <c r="G36" s="15" cm="1">
        <f t="array" ref="G36">MMS_Poultry_LeachingAndRunoff_Equations.VEERG_4_6_1_7__2_MassOfNitrogenLostToLeachingAndRunoffFromSolidStorage(G29,$I$14,$I$15)</f>
        <v>1.3038111936E-2</v>
      </c>
      <c r="H36" s="15" cm="1">
        <f t="array" ref="H36">MMS_Poultry_LeachingAndRunoff_Equations.VEERG_4_6_1_7__2_MassOfNitrogenLostToLeachingAndRunoffFromSolidStorage(H29,$I$14,$I$15)</f>
        <v>1.5304804607999998E-2</v>
      </c>
      <c r="I36" s="15" cm="1">
        <f t="array" ref="I36">MMS_Poultry_LeachingAndRunoff_Equations.VEERG_4_6_1_7__2_MassOfNitrogenLostToLeachingAndRunoffFromSolidStorage(I29,$I$14,$I$15)</f>
        <v>1.3038111936E-2</v>
      </c>
      <c r="J36" s="16"/>
      <c r="N36" s="15" t="str">
        <f>INDEX(X_Table_Poultry_Stage1MMS,4,1)</f>
        <v>Manure stored in house</v>
      </c>
      <c r="O36" s="15" t="str">
        <f>INDEX(X_Table_Poultry_Stage2MMS_ManureStoredInHouse,2,1)</f>
        <v>Solid storage</v>
      </c>
      <c r="P36" s="15" cm="1">
        <f t="array" ref="P36">MMS_Poultry_LeachingAndRunoff_Equations.VEERG_4_6_1_7__2_MassOfNitrogenLostToLeachingAndRunoffFromSolidStorage(P29,$I$14,$I$15)</f>
        <v>1.2214999680000003E-2</v>
      </c>
      <c r="Q36" s="15" cm="1">
        <f t="array" ref="Q36">MMS_Poultry_LeachingAndRunoff_Equations.VEERG_4_6_1_7__2_MassOfNitrogenLostToLeachingAndRunoffFromSolidStorage(Q29,$I$14,$I$15)</f>
        <v>1.3038111936E-2</v>
      </c>
      <c r="R36" s="15" cm="1">
        <f t="array" ref="R36">MMS_Poultry_LeachingAndRunoff_Equations.VEERG_4_6_1_7__2_MassOfNitrogenLostToLeachingAndRunoffFromSolidStorage(R29,$I$14,$I$15)</f>
        <v>1.5304804607999998E-2</v>
      </c>
      <c r="S36" s="15" cm="1">
        <f t="array" ref="S36">MMS_Poultry_LeachingAndRunoff_Equations.VEERG_4_6_1_7__2_MassOfNitrogenLostToLeachingAndRunoffFromSolidStorage(S29,$I$14,$I$15)</f>
        <v>1.3038111936E-2</v>
      </c>
      <c r="T36" s="16"/>
    </row>
    <row r="37" spans="1:21" ht="20.100000000000001" customHeight="1" x14ac:dyDescent="0.2">
      <c r="A37" s="5" t="str">
        <f>HYPERLINK("#'10.1.1-2 Solid waste treatment'!A1", "10.1.1.1-2 Solid waste")</f>
        <v>10.1.1.1-2 Solid waste</v>
      </c>
    </row>
    <row r="38" spans="1:21" ht="20.100000000000001" customHeight="1" x14ac:dyDescent="0.2">
      <c r="A38" s="5" t="str">
        <f>HYPERLINK("#'14.1.1-2 Purchased electricity'!A1", "14.1.1-2 Purchased electricity")</f>
        <v>14.1.1-2 Purchased electricity</v>
      </c>
    </row>
    <row r="39" spans="1:21" ht="20.100000000000001" customHeight="1" x14ac:dyDescent="0.2">
      <c r="A39" s="5" t="str">
        <f>HYPERLINK("#'15 Scope 3'!A1", "15 Scope 3")</f>
        <v>15 Scope 3</v>
      </c>
      <c r="C39" s="83"/>
      <c r="D39" s="83"/>
      <c r="E39" s="83"/>
      <c r="F39" s="83"/>
      <c r="G39" s="83"/>
      <c r="H39" s="83"/>
      <c r="I39" s="83"/>
      <c r="J39" s="83"/>
      <c r="K39" s="83"/>
      <c r="M39" s="83"/>
      <c r="N39" s="83"/>
      <c r="O39" s="83"/>
      <c r="P39" s="83"/>
      <c r="Q39" s="83"/>
      <c r="R39" s="83"/>
      <c r="S39" s="83"/>
      <c r="T39" s="83"/>
      <c r="U39" s="83"/>
    </row>
    <row r="40" spans="1:21" ht="20.100000000000001" customHeight="1" x14ac:dyDescent="0.2">
      <c r="A40" s="5" t="str">
        <f>HYPERLINK("#'Calcs - Manure sent off-site'!A1", "Calcs - Manure sent off-site")</f>
        <v>Calcs - Manure sent off-site</v>
      </c>
      <c r="D40" s="2" t="str" cm="1">
        <f t="array" ref="D40">MMS_Poultry_LeachingAndRunoff_Equations.VEERG_4_6_1_7__1_AnnualEmissionsFromLeachingAndRunoffFromMMS_Title()</f>
        <v>Annual emissions from leaching and runoff from each MMS</v>
      </c>
    </row>
    <row r="41" spans="1:21" ht="20.100000000000001" customHeight="1" x14ac:dyDescent="0.2">
      <c r="A41" s="5" t="str">
        <f>HYPERLINK("#'5.1.1.1-2 Inorganic fert N2O'!A1", "5.1.1.1-2 Inorganic fert N2O")</f>
        <v>5.1.1.1-2 Inorganic fert N2O</v>
      </c>
      <c r="D41" s="17" t="str" cm="1">
        <f t="array" ref="D41">MMS_Poultry_LeachingAndRunoff_Equations.VEERG_4_6_1_7__1_AnnualEmissionsFromLeachingAndRunoffFromMMS_Source()</f>
        <v>VEERG 2026: 4.6.1.7, Equation (1)</v>
      </c>
    </row>
    <row r="42" spans="1:21" ht="20.100000000000001" customHeight="1" x14ac:dyDescent="0.2">
      <c r="A42" s="5" t="str">
        <f>HYPERLINK("#'5.1.1.3-4 Inorganic fert CO2'!A1", "5.1.1.3-4 Inorganic fert CO2")</f>
        <v>5.1.1.3-4 Inorganic fert CO2</v>
      </c>
      <c r="D42" s="112" t="s">
        <v>328</v>
      </c>
      <c r="E42" s="112" t="str" cm="1">
        <f t="array" aca="1" ref="E42" ca="1">Common_InputFunctions.Utility_DisplayFunctionName(F55)</f>
        <v>=MMS_Poultry_LeachingAndRunoff_Equations.VEERG_4_6_1_7__1_AnnualEmissionsFromLeachingAndRunoffFromMMS</v>
      </c>
    </row>
    <row r="43" spans="1:21" ht="20.100000000000001" customHeight="1" x14ac:dyDescent="0.2">
      <c r="A43" s="5" t="str">
        <f>HYPERLINK("#'5.2.1.1-2 Organic Fert N2O'!A1", "5.2.1.1-2 Organic Fert N2O")</f>
        <v>5.2.1.1-2 Organic Fert N2O</v>
      </c>
    </row>
    <row r="44" spans="1:21" ht="20.100000000000001" customHeight="1" x14ac:dyDescent="0.2">
      <c r="A44" s="5" t="str">
        <f>HYPERLINK("#'5.3.1.1-2 Lime CO2'!A1", "5.3.1.1-2 Lime CO2")</f>
        <v>5.3.1.1-2 Lime CO2</v>
      </c>
    </row>
    <row r="45" spans="1:21" ht="20.100000000000001" customHeight="1" x14ac:dyDescent="0.2">
      <c r="A45" s="5" t="str">
        <f>HYPERLINK("#'5.4.1.1-4 Atmos deposition'!A1", "5.4.1.1-4 Atmos deposition")</f>
        <v>5.4.1.1-4 Atmos deposition</v>
      </c>
      <c r="D45" s="75" t="s">
        <v>329</v>
      </c>
      <c r="E45" s="1" t="str" cm="1">
        <f t="array" ref="E45">MMS_Poultry_LeachingAndRunoff_Equations.VEERG_4_6_1_7__1_AnnualEmissionsFromLeachingAndRunoffFromMMS_Variable()</f>
        <v>E_N2Oleach</v>
      </c>
    </row>
    <row r="46" spans="1:21" ht="20.100000000000001" customHeight="1" x14ac:dyDescent="0.2">
      <c r="A46" s="5" t="str">
        <f>HYPERLINK("#'5.5.1.1-2 Leaching and runoff'!A1", "5.5.1.1-2 Leaching and runoff")</f>
        <v>5.5.1.1-2 Leaching and runoff</v>
      </c>
      <c r="D46" s="75" t="s">
        <v>118</v>
      </c>
      <c r="E46" s="9" t="str" cm="1">
        <f t="array" ref="E46">MMS_Poultry_LeachingAndRunoff_Equations.VEERG_4_6_1_7__1_AnnualEmissionsFromLeachingAndRunoffFromMMS_Unit()</f>
        <v>t N2O</v>
      </c>
    </row>
    <row r="48" spans="1:21" ht="20.100000000000001" customHeight="1" x14ac:dyDescent="0.2">
      <c r="D48" s="113" t="str" cm="1">
        <f t="array" ref="D48:E50">_xlfn.CHOOSECOLS(MMS_Poultry_LeachingAndRunoff_Equations.VEERG_4_6_1_7__1_AnnualEmissionsFromLeachingAndRunoffFromMMS_Arguments(),1,2)</f>
        <v>MNLeach_jkm4</v>
      </c>
      <c r="E48" s="122" t="str">
        <v>mass of N lost through leaching and runoff from each MMS</v>
      </c>
      <c r="F48" s="123"/>
      <c r="G48" s="113" t="str" cm="1">
        <f t="array" ref="G48:H50">_xlfn.CHOOSECOLS(MMS_Poultry_LeachingAndRunoff_Equations.VEERG_4_6_1_7__1_AnnualEmissionsFromLeachingAndRunoffFromMMS_Arguments(),3,4)</f>
        <v>kg N</v>
      </c>
      <c r="H48" s="115" t="str">
        <v>Calculated from 4.6.1.7 (2)</v>
      </c>
      <c r="I48" s="116" t="str" cm="1">
        <f t="array" aca="1" ref="I48" ca="1">HYPERLINK(Common_InputFunctions.Utility_SourceHyperlink($D$31),$D$31)</f>
        <v>M1_Table_MN_Leach_j_k_m-4</v>
      </c>
    </row>
    <row r="49" spans="1:20" ht="20.100000000000001" customHeight="1" x14ac:dyDescent="0.2">
      <c r="A49" s="80" t="s">
        <v>1</v>
      </c>
      <c r="D49" s="113" t="str">
        <v>EF_leach</v>
      </c>
      <c r="E49" s="122" t="str">
        <v>emission factor for leaching and runoff</v>
      </c>
      <c r="F49" s="123"/>
      <c r="G49" s="113" t="str">
        <v>kg N2O-N/kg N</v>
      </c>
      <c r="H49" s="115" t="str">
        <v>Constant</v>
      </c>
      <c r="I49" s="113">
        <f>'Constants - Common'!$E$170</f>
        <v>1.0999999999999999E-2</v>
      </c>
    </row>
    <row r="50" spans="1:20" ht="20.100000000000001" customHeight="1" x14ac:dyDescent="0.2">
      <c r="A50" s="5" t="str">
        <f>HYPERLINK("#'Constants - Poultry'!A1", "Constants - Poultry")</f>
        <v>Constants - Poultry</v>
      </c>
      <c r="D50" s="113" t="str">
        <v>C_N2O</v>
      </c>
      <c r="E50" s="122" t="str">
        <v>factor to convert elemental mass of N2O to molecular mass</v>
      </c>
      <c r="F50" s="123"/>
      <c r="G50" s="113" t="str">
        <v>ratio</v>
      </c>
      <c r="H50" s="115" t="str">
        <v>Constant</v>
      </c>
      <c r="I50" s="113">
        <f>Common_InputFunctions.Utility_LookupValueInTableNumber("N2O",Table_GasToMolecularConversionFactor[Gas],Table_GasToMolecularConversionFactor[Conversion factor combined])</f>
        <v>1.5714285714285714</v>
      </c>
    </row>
    <row r="51" spans="1:20" ht="20.100000000000001" customHeight="1" x14ac:dyDescent="0.2">
      <c r="A51" s="5" t="str">
        <f>HYPERLINK("#'Constants - Common livestock'!A1", "Constants - Common Livestock")</f>
        <v>Constants - Common Livestock</v>
      </c>
    </row>
    <row r="52" spans="1:20" ht="20.100000000000001" customHeight="1" x14ac:dyDescent="0.2">
      <c r="A52" s="5" t="str">
        <f>HYPERLINK("#'Constants - Electricity'!A1", "Constants - Electricity")</f>
        <v>Constants - Electricity</v>
      </c>
      <c r="D52" s="118" t="s">
        <v>446</v>
      </c>
      <c r="N52" s="118" t="s">
        <v>447</v>
      </c>
    </row>
    <row r="53" spans="1:20" ht="20.100000000000001" customHeight="1" x14ac:dyDescent="0.2">
      <c r="A53" s="5" t="str">
        <f>HYPERLINK("#'Constants - Fertiliser'!A1", "Constants - Fertiliser")</f>
        <v>Constants - Fertiliser</v>
      </c>
      <c r="D53" s="119" t="s">
        <v>448</v>
      </c>
      <c r="N53" s="119" t="s">
        <v>449</v>
      </c>
    </row>
    <row r="54" spans="1:20" ht="20.100000000000001" customHeight="1" x14ac:dyDescent="0.2">
      <c r="A54" s="5" t="str">
        <f>HYPERLINK("#'Constants - Fuel'!A1", "Constants - Fuel")</f>
        <v>Constants - Fuel</v>
      </c>
      <c r="D54" s="120" t="s">
        <v>314</v>
      </c>
      <c r="E54" s="120" t="s">
        <v>318</v>
      </c>
      <c r="F54" s="120" t="s">
        <v>297</v>
      </c>
      <c r="G54" s="120" t="s">
        <v>298</v>
      </c>
      <c r="H54" s="120" t="s">
        <v>299</v>
      </c>
      <c r="I54" s="120" t="s">
        <v>300</v>
      </c>
      <c r="N54" s="120" t="s">
        <v>314</v>
      </c>
      <c r="O54" s="120" t="s">
        <v>318</v>
      </c>
      <c r="P54" s="120" t="s">
        <v>297</v>
      </c>
      <c r="Q54" s="120" t="s">
        <v>298</v>
      </c>
      <c r="R54" s="120" t="s">
        <v>299</v>
      </c>
      <c r="S54" s="120" t="s">
        <v>300</v>
      </c>
    </row>
    <row r="55" spans="1:20" ht="20.100000000000001" customHeight="1" x14ac:dyDescent="0.2">
      <c r="A55" s="5" t="str">
        <f>HYPERLINK("#'Constants - Scope 3'!A1", "Constants - Scope 3")</f>
        <v>Constants - Scope 3</v>
      </c>
      <c r="D55" s="15" t="str">
        <f>INDEX(X_Table_Poultry_Stage1MMS,2,1)</f>
        <v>Poultry manure with bedding</v>
      </c>
      <c r="E55" s="15" t="str">
        <f>INDEX(X_Table_Poultry_Stage2MMS_PoultryManureWithBedding,2,1)</f>
        <v>Solid storage</v>
      </c>
      <c r="F55" s="15" cm="1">
        <f t="array" ref="F55">MMS_Poultry_LeachingAndRunoff_Equations.VEERG_4_6_1_7__1_AnnualEmissionsFromLeachingAndRunoffFromMMS(F34, $I$49, $I$50)</f>
        <v>2.4639457618285716E-7</v>
      </c>
      <c r="G55" s="15" cm="1">
        <f t="array" ref="G55">MMS_Poultry_LeachingAndRunoff_Equations.VEERG_4_6_1_7__1_AnnualEmissionsFromLeachingAndRunoffFromMMS(G34, $I$49, $I$50)</f>
        <v>2.6299796552228575E-7</v>
      </c>
      <c r="H55" s="15" cm="1">
        <f t="array" ref="H55">MMS_Poultry_LeachingAndRunoff_Equations.VEERG_4_6_1_7__1_AnnualEmissionsFromLeachingAndRunoffFromMMS(H34, $I$49, $I$50)</f>
        <v>3.0872050296685714E-7</v>
      </c>
      <c r="I55" s="15" cm="1">
        <f t="array" ref="I55">MMS_Poultry_LeachingAndRunoff_Equations.VEERG_4_6_1_7__1_AnnualEmissionsFromLeachingAndRunoffFromMMS(I34, $I$49, $I$50)</f>
        <v>2.6299796552228575E-7</v>
      </c>
      <c r="J55" s="16" t="str">
        <f>$E$46</f>
        <v>t N2O</v>
      </c>
      <c r="N55" s="15" t="str">
        <f>INDEX(X_Table_Poultry_Stage1MMS,2,1)</f>
        <v>Poultry manure with bedding</v>
      </c>
      <c r="O55" s="15" t="str">
        <f>INDEX(X_Table_Poultry_Stage2MMS_PoultryManureWithBedding,2,1)</f>
        <v>Solid storage</v>
      </c>
      <c r="P55" s="15" cm="1">
        <f t="array" ref="P55">MMS_Poultry_LeachingAndRunoff_Equations.VEERG_4_6_1_7__1_AnnualEmissionsFromLeachingAndRunoffFromMMS(P34, $I$49, $I$50)</f>
        <v>2.4639457618285716E-7</v>
      </c>
      <c r="Q55" s="15" cm="1">
        <f t="array" ref="Q55">MMS_Poultry_LeachingAndRunoff_Equations.VEERG_4_6_1_7__1_AnnualEmissionsFromLeachingAndRunoffFromMMS(Q34, $I$49, $I$50)</f>
        <v>2.6299796552228575E-7</v>
      </c>
      <c r="R55" s="15" cm="1">
        <f t="array" ref="R55">MMS_Poultry_LeachingAndRunoff_Equations.VEERG_4_6_1_7__1_AnnualEmissionsFromLeachingAndRunoffFromMMS(R34, $I$49, $I$50)</f>
        <v>3.0872050296685714E-7</v>
      </c>
      <c r="S55" s="15" cm="1">
        <f t="array" ref="S55">MMS_Poultry_LeachingAndRunoff_Equations.VEERG_4_6_1_7__1_AnnualEmissionsFromLeachingAndRunoffFromMMS(S34, $I$49, $I$50)</f>
        <v>2.6299796552228575E-7</v>
      </c>
      <c r="T55" s="16" t="str">
        <f>$E$46</f>
        <v>t N2O</v>
      </c>
    </row>
    <row r="56" spans="1:20" ht="20.100000000000001" customHeight="1" x14ac:dyDescent="0.2">
      <c r="A56" s="5" t="str">
        <f>HYPERLINK("#'Constants - Solid Waste'!A1", "Constants - Solid Waste")</f>
        <v>Constants - Solid Waste</v>
      </c>
      <c r="D56" s="15" t="str">
        <f>INDEX(X_Table_Poultry_Stage1MMS,3,1)</f>
        <v>Belt manure removal</v>
      </c>
      <c r="E56" s="15" t="str">
        <f>INDEX(X_Table_Poultry_Stage2MMS_BeltManureRemoval,2,1)</f>
        <v>Solid storage</v>
      </c>
      <c r="F56" s="15" cm="1">
        <f t="array" ref="F56">MMS_Poultry_LeachingAndRunoff_Equations.VEERG_4_6_1_7__1_AnnualEmissionsFromLeachingAndRunoffFromMMS(F35, $I$49, $I$50)</f>
        <v>3.345185304685715E-7</v>
      </c>
      <c r="G56" s="15" cm="1">
        <f t="array" ref="G56">MMS_Poultry_LeachingAndRunoff_Equations.VEERG_4_6_1_7__1_AnnualEmissionsFromLeachingAndRunoffFromMMS(G35, $I$49, $I$50)</f>
        <v>3.5706018495085714E-7</v>
      </c>
      <c r="H56" s="15" cm="1">
        <f t="array" ref="H56">MMS_Poultry_LeachingAndRunoff_Equations.VEERG_4_6_1_7__1_AnnualEmissionsFromLeachingAndRunoffFromMMS(H35, $I$49, $I$50)</f>
        <v>4.1913556125257138E-7</v>
      </c>
      <c r="I56" s="15" cm="1">
        <f t="array" ref="I56">MMS_Poultry_LeachingAndRunoff_Equations.VEERG_4_6_1_7__1_AnnualEmissionsFromLeachingAndRunoffFromMMS(I35, $I$49, $I$50)</f>
        <v>3.5706018495085714E-7</v>
      </c>
      <c r="J56" s="16"/>
      <c r="N56" s="15" t="str">
        <f>INDEX(X_Table_Poultry_Stage1MMS,3,1)</f>
        <v>Belt manure removal</v>
      </c>
      <c r="O56" s="15" t="str">
        <f>INDEX(X_Table_Poultry_Stage2MMS_BeltManureRemoval,2,1)</f>
        <v>Solid storage</v>
      </c>
      <c r="P56" s="15" cm="1">
        <f t="array" ref="P56">MMS_Poultry_LeachingAndRunoff_Equations.VEERG_4_6_1_7__1_AnnualEmissionsFromLeachingAndRunoffFromMMS(P35, $I$49, $I$50)</f>
        <v>3.345185304685715E-7</v>
      </c>
      <c r="Q56" s="15" cm="1">
        <f t="array" ref="Q56">MMS_Poultry_LeachingAndRunoff_Equations.VEERG_4_6_1_7__1_AnnualEmissionsFromLeachingAndRunoffFromMMS(Q35, $I$49, $I$50)</f>
        <v>3.5706018495085714E-7</v>
      </c>
      <c r="R56" s="15" cm="1">
        <f t="array" ref="R56">MMS_Poultry_LeachingAndRunoff_Equations.VEERG_4_6_1_7__1_AnnualEmissionsFromLeachingAndRunoffFromMMS(R35, $I$49, $I$50)</f>
        <v>4.1913556125257138E-7</v>
      </c>
      <c r="S56" s="15" cm="1">
        <f t="array" ref="S56">MMS_Poultry_LeachingAndRunoff_Equations.VEERG_4_6_1_7__1_AnnualEmissionsFromLeachingAndRunoffFromMMS(S35, $I$49, $I$50)</f>
        <v>3.5706018495085714E-7</v>
      </c>
      <c r="T56" s="16"/>
    </row>
    <row r="57" spans="1:20" ht="20.100000000000001" customHeight="1" x14ac:dyDescent="0.2">
      <c r="A57" s="5" t="str">
        <f>HYPERLINK("#'Constants - Common'!A1", "Constants - Common")</f>
        <v>Constants - Common</v>
      </c>
      <c r="D57" s="15" t="str">
        <f>INDEX(X_Table_Poultry_Stage1MMS,4,1)</f>
        <v>Manure stored in house</v>
      </c>
      <c r="E57" s="15" t="str">
        <f>INDEX(X_Table_Poultry_Stage2MMS_ManureStoredInHouse,2,1)</f>
        <v>Solid storage</v>
      </c>
      <c r="F57" s="15" cm="1">
        <f t="array" ref="F57">MMS_Poultry_LeachingAndRunoff_Equations.VEERG_4_6_1_7__1_AnnualEmissionsFromLeachingAndRunoffFromMMS(F36, $I$49, $I$50)</f>
        <v>2.1114499446857149E-7</v>
      </c>
      <c r="G57" s="15" cm="1">
        <f t="array" ref="G57">MMS_Poultry_LeachingAndRunoff_Equations.VEERG_4_6_1_7__1_AnnualEmissionsFromLeachingAndRunoffFromMMS(G36, $I$49, $I$50)</f>
        <v>2.253730777508571E-7</v>
      </c>
      <c r="H57" s="15" cm="1">
        <f t="array" ref="H57">MMS_Poultry_LeachingAndRunoff_Equations.VEERG_4_6_1_7__1_AnnualEmissionsFromLeachingAndRunoffFromMMS(H36, $I$49, $I$50)</f>
        <v>2.6455447965257135E-7</v>
      </c>
      <c r="I57" s="15" cm="1">
        <f t="array" ref="I57">MMS_Poultry_LeachingAndRunoff_Equations.VEERG_4_6_1_7__1_AnnualEmissionsFromLeachingAndRunoffFromMMS(I36, $I$49, $I$50)</f>
        <v>2.253730777508571E-7</v>
      </c>
      <c r="J57" s="16"/>
      <c r="N57" s="15" t="str">
        <f>INDEX(X_Table_Poultry_Stage1MMS,4,1)</f>
        <v>Manure stored in house</v>
      </c>
      <c r="O57" s="15" t="str">
        <f>INDEX(X_Table_Poultry_Stage2MMS_ManureStoredInHouse,2,1)</f>
        <v>Solid storage</v>
      </c>
      <c r="P57" s="15" cm="1">
        <f t="array" ref="P57">MMS_Poultry_LeachingAndRunoff_Equations.VEERG_4_6_1_7__1_AnnualEmissionsFromLeachingAndRunoffFromMMS(P36, $I$49, $I$50)</f>
        <v>2.1114499446857149E-7</v>
      </c>
      <c r="Q57" s="15" cm="1">
        <f t="array" ref="Q57">MMS_Poultry_LeachingAndRunoff_Equations.VEERG_4_6_1_7__1_AnnualEmissionsFromLeachingAndRunoffFromMMS(Q36, $I$49, $I$50)</f>
        <v>2.253730777508571E-7</v>
      </c>
      <c r="R57" s="15" cm="1">
        <f t="array" ref="R57">MMS_Poultry_LeachingAndRunoff_Equations.VEERG_4_6_1_7__1_AnnualEmissionsFromLeachingAndRunoffFromMMS(R36, $I$49, $I$50)</f>
        <v>2.6455447965257135E-7</v>
      </c>
      <c r="S57" s="15" cm="1">
        <f t="array" ref="S57">MMS_Poultry_LeachingAndRunoff_Equations.VEERG_4_6_1_7__1_AnnualEmissionsFromLeachingAndRunoffFromMMS(S36, $I$49, $I$50)</f>
        <v>2.253730777508571E-7</v>
      </c>
      <c r="T57" s="16"/>
    </row>
    <row r="59" spans="1:20" ht="20.100000000000001" customHeight="1" x14ac:dyDescent="0.2">
      <c r="D59" s="85" t="s">
        <v>435</v>
      </c>
      <c r="E59" s="86">
        <f>SUM(F55:I57)</f>
        <v>3.4753311014399998E-6</v>
      </c>
      <c r="F59" s="95" t="str">
        <f>$E$46</f>
        <v>t N2O</v>
      </c>
      <c r="N59" s="85" t="s">
        <v>435</v>
      </c>
      <c r="O59" s="86">
        <f>SUM(P55:S57)</f>
        <v>3.4753311014399998E-6</v>
      </c>
      <c r="P59" s="95" t="str">
        <f>$E$46</f>
        <v>t N2O</v>
      </c>
    </row>
    <row r="61" spans="1:20" ht="20.100000000000001" customHeight="1" x14ac:dyDescent="0.2">
      <c r="D61" s="126" t="str" cm="1">
        <f t="array" ref="D61:E62">Common_Equations.Common_ConvertN2OToCO2e_Arguments()</f>
        <v>EN2O</v>
      </c>
      <c r="E61" s="129" t="str">
        <v>Nitrous oxide emissions (t N2O)</v>
      </c>
      <c r="F61" s="130"/>
      <c r="G61" s="15">
        <f>VEERG_4_6_1_7__1_AnnualEmissionsFromLeachingAndRunoffFromMMS_Result_Method1</f>
        <v>3.4753311014399998E-6</v>
      </c>
      <c r="N61" s="126" t="str" cm="1">
        <f t="array" ref="N61:O62">Common_Equations.Common_ConvertN2OToCO2e_Arguments()</f>
        <v>EN2O</v>
      </c>
      <c r="O61" s="129" t="str">
        <v>Nitrous oxide emissions (t N2O)</v>
      </c>
      <c r="P61" s="130"/>
      <c r="Q61" s="15">
        <f>VEERG_4_6_1_7__1_AnnualEmissionsFromLeachingAndRunoffFromMMS_Result_Method2</f>
        <v>3.4753311014399998E-6</v>
      </c>
    </row>
    <row r="62" spans="1:20" ht="20.100000000000001" customHeight="1" x14ac:dyDescent="0.2">
      <c r="D62" s="126" t="str">
        <v>GWPN2O</v>
      </c>
      <c r="E62" s="129" t="str">
        <v>Global warming potential for nitrous oxide (t CO2-e / t N2O)</v>
      </c>
      <c r="F62" s="130"/>
      <c r="G62" s="15">
        <f>Common_InputFunctions.Utility_LookupValueInTableNumber("N2O", Table_GWPData[Gas],Table_GWPData[CO2-e factor])</f>
        <v>265</v>
      </c>
      <c r="N62" s="126" t="str">
        <v>GWPN2O</v>
      </c>
      <c r="O62" s="129" t="str">
        <v>Global warming potential for nitrous oxide (t CO2-e / t N2O)</v>
      </c>
      <c r="P62" s="130"/>
      <c r="Q62" s="15">
        <f>Common_InputFunctions.Utility_LookupValueInTableNumber("N2O", Table_GWPData[Gas],Table_GWPData[CO2-e factor])</f>
        <v>265</v>
      </c>
    </row>
    <row r="64" spans="1:20" ht="20.100000000000001" customHeight="1" x14ac:dyDescent="0.2">
      <c r="D64" s="83" t="s">
        <v>377</v>
      </c>
      <c r="E64" s="83" cm="1">
        <f t="array" ref="E64">Common_Equations.Common_ConvertN2OToCO2e(G61,G62)</f>
        <v>9.2096274188159999E-4</v>
      </c>
      <c r="F64" s="89" t="str" cm="1">
        <f t="array" ref="F64">Common_Equations.Common_ConvertN2OToCO2e_Unit()</f>
        <v>t CO2e</v>
      </c>
      <c r="N64" s="83" t="s">
        <v>377</v>
      </c>
      <c r="O64" s="83" cm="1">
        <f t="array" ref="O64">Common_Equations.Common_ConvertN2OToCO2e(Q61,Q62)</f>
        <v>9.2096274188159999E-4</v>
      </c>
      <c r="P64" s="89" t="str" cm="1">
        <f t="array" ref="P64">Common_Equations.Common_ConvertN2OToCO2e_Unit()</f>
        <v>t CO2e</v>
      </c>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7892-D8BE-4C30-BFB9-D798119E4967}">
  <sheetPr>
    <tabColor rgb="FF008000"/>
  </sheetPr>
  <dimension ref="A1:U205"/>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450</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MMS_Poultry_ManureAppliedToSoils_Equations.VEERG_4_6_1_9__1_MassOfNitrogenAppliedToSoilsScope1_Title()</f>
        <v>Mass of nitrogen applied to soils for scope 1 emissions</v>
      </c>
    </row>
    <row r="6" spans="1:21" ht="20.100000000000001" customHeight="1" x14ac:dyDescent="0.2">
      <c r="D6" s="17" t="str" cm="1">
        <f t="array" ref="D6">MMS_Poultry_ManureAppliedToSoils_Equations.VEERG_4_6_1_9__1_MassOfNitrogenAppliedToSoilsScope1_Source()</f>
        <v>VEERG 2026: 4.6.1.9, Equation (1)</v>
      </c>
    </row>
    <row r="7" spans="1:21" ht="20.100000000000001" customHeight="1" x14ac:dyDescent="0.2">
      <c r="D7" s="112" t="s">
        <v>328</v>
      </c>
      <c r="E7" s="112" t="str" cm="1">
        <f t="array" aca="1" ref="E7" ca="1">Common_InputFunctions.Utility_DisplayFunctionName(F105)</f>
        <v>=MMS_Poultry_ManureAppliedToSoils_Equations.VEERG_4_6_1_9__1_MassOfNitrogenAppliedToSoilsScope1</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MMS_Poultry_ManureAppliedToSoils_Equations.VEERG_4_6_1_9__1_MassOfNitrogenAppliedToSoilsScope1_Variable()</f>
        <v>MNSoil_scope1</v>
      </c>
    </row>
    <row r="11" spans="1:21" ht="20.100000000000001" customHeight="1" x14ac:dyDescent="0.2">
      <c r="A11" s="5" t="str">
        <f>HYPERLINK("#'Input - Poultry'!A1", "Poultry")</f>
        <v>Poultry</v>
      </c>
      <c r="D11" s="75" t="s">
        <v>118</v>
      </c>
      <c r="E11" s="9" t="str" cm="1">
        <f t="array" ref="E11">MMS_Poultry_ManureAppliedToSoils_Equations.VEERG_4_6_1_9__1_MassOfNitrogenAppliedToSoilsScope1_Unit()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17">_xlfn.CHOOSECOLS(MMS_Poultry_ManureAppliedToSoils_Equations.VEERG_4_6_1_9__1_MassOfNitrogenAppliedToSoilsScope1_Arguments(),1,2)</f>
        <v>MN_jmT2</v>
      </c>
      <c r="E13" s="122" t="str">
        <v>mass of N in secondary treatment stage as calculated for manure management</v>
      </c>
      <c r="F13" s="123"/>
      <c r="G13" s="113" t="str" cm="1">
        <f t="array" ref="G13:H17">_xlfn.CHOOSECOLS(MMS_Poultry_ManureAppliedToSoils_Equations.VEERG_4_6_1_9__1_MassOfNitrogenAppliedToSoilsScope1_Arguments(),3,4)</f>
        <v>kg N</v>
      </c>
      <c r="H13" s="115" t="str">
        <v>Calculated from 4.6.1.3 (6)</v>
      </c>
      <c r="I13" s="116" t="str" cm="1">
        <f t="array" aca="1" ref="I13" ca="1">HYPERLINK(Common_InputFunctions.Utility_SourceHyperlink($D$19),$D$19)</f>
        <v>M1_Table_MN_j_k_m_T-2</v>
      </c>
    </row>
    <row r="14" spans="1:21" ht="20.100000000000001" customHeight="1" x14ac:dyDescent="0.2">
      <c r="A14" s="5" t="str">
        <f>HYPERLINK("#'Input - Fuel'!A1", "Fuel")</f>
        <v>Fuel</v>
      </c>
      <c r="D14" s="113" t="str">
        <v>EF_mT2</v>
      </c>
      <c r="E14" s="122" t="str">
        <v>nitrous oxide emission factor for each MMS</v>
      </c>
      <c r="F14" s="123"/>
      <c r="G14" s="113" t="str">
        <v>kg N2O-N/kg N</v>
      </c>
      <c r="H14" s="115" t="str">
        <v>Constant</v>
      </c>
      <c r="I14" s="116" t="str" cm="1">
        <f t="array" aca="1" ref="I14" ca="1">HYPERLINK(Common_InputFunctions.Utility_SourceHyperlink($D$38),$D$38)</f>
        <v>Table_EF_m</v>
      </c>
    </row>
    <row r="15" spans="1:21" ht="20.100000000000001" customHeight="1" x14ac:dyDescent="0.2">
      <c r="A15" s="5" t="str">
        <f>HYPERLINK("#'Input - Electricity'!A1", "Electricity")</f>
        <v>Electricity</v>
      </c>
      <c r="D15" s="113" t="str">
        <v>FracGASM_mT2</v>
      </c>
      <c r="E15" s="122" t="str">
        <v>fraction of animal waste N volatilised in each MMS</v>
      </c>
      <c r="F15" s="123"/>
      <c r="G15" s="113" t="str">
        <v>(kg NH3-N + NOx-N)/kg N</v>
      </c>
      <c r="H15" s="115" t="str">
        <v>Constant</v>
      </c>
      <c r="I15" s="116" t="str" cm="1">
        <f t="array" aca="1" ref="I15" ca="1">HYPERLINK(Common_InputFunctions.Utility_SourceHyperlink($D$51),$D$51)</f>
        <v>Table_FracGASM_m_T</v>
      </c>
    </row>
    <row r="16" spans="1:21" ht="20.100000000000001" customHeight="1" x14ac:dyDescent="0.2">
      <c r="A16" s="5" t="str">
        <f>HYPERLINK("#'Input - Common farm inputs'!A1", "Common farm inputs")</f>
        <v>Common farm inputs</v>
      </c>
      <c r="D16" s="113" t="str">
        <v>MNLeach_MMS</v>
      </c>
      <c r="E16" s="122" t="str">
        <v>mass of N lost through leaching and runoff from MMS</v>
      </c>
      <c r="F16" s="123"/>
      <c r="G16" s="113" t="str">
        <v>kg N</v>
      </c>
      <c r="H16" s="115" t="str">
        <v>Calculated from 4.6.1.7 (2)</v>
      </c>
      <c r="I16" s="116" t="str" cm="1">
        <f t="array" aca="1" ref="I16" ca="1">HYPERLINK(Common_InputFunctions.Utility_SourceHyperlink($D$64),$D$64)</f>
        <v>M1_Table_MNLeach_MMS</v>
      </c>
    </row>
    <row r="17" spans="1:20" ht="20.100000000000001" customHeight="1" x14ac:dyDescent="0.2">
      <c r="A17" s="5" t="str">
        <f>HYPERLINK("#'Input - Livestock farm Inputs'!A1", "Livestock farm Inputs")</f>
        <v>Livestock farm Inputs</v>
      </c>
      <c r="D17" s="113" t="str">
        <v>PF</v>
      </c>
      <c r="E17" s="122" t="str">
        <v>fraction of manure applied to soil within the farm boundary</v>
      </c>
      <c r="F17" s="123"/>
      <c r="G17" s="113" t="str">
        <v>fraction</v>
      </c>
      <c r="H17" s="114" t="str">
        <v>Input</v>
      </c>
      <c r="I17" s="116" t="str" cm="1">
        <f t="array" aca="1" ref="I17" ca="1">HYPERLINK(Common_InputFunctions.Utility_SourceHyperlink($D$83),$D$83)</f>
        <v>Table_PF</v>
      </c>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118" t="s">
        <v>411</v>
      </c>
      <c r="N19" s="118" t="s">
        <v>412</v>
      </c>
    </row>
    <row r="20" spans="1:20" ht="20.100000000000001" customHeight="1" x14ac:dyDescent="0.2">
      <c r="A20" s="5" t="str">
        <f>HYPERLINK("#'Input - Manure sent off-site'!A1", "Manure sent off-site")</f>
        <v>Manure sent off-site</v>
      </c>
      <c r="D20" s="119" t="s">
        <v>413</v>
      </c>
      <c r="N20" s="119" t="s">
        <v>414</v>
      </c>
    </row>
    <row r="21" spans="1:20" ht="20.100000000000001" customHeight="1" x14ac:dyDescent="0.2">
      <c r="A21" s="5" t="str">
        <f>HYPERLINK("#'Input - Data quality'!A1", "Data quality")</f>
        <v>Data quality</v>
      </c>
      <c r="D21" s="120" t="s">
        <v>314</v>
      </c>
      <c r="E21" s="120" t="s">
        <v>318</v>
      </c>
      <c r="F21" s="120" t="s">
        <v>297</v>
      </c>
      <c r="G21" s="120" t="s">
        <v>298</v>
      </c>
      <c r="H21" s="120" t="s">
        <v>299</v>
      </c>
      <c r="I21" s="120" t="s">
        <v>300</v>
      </c>
      <c r="N21" s="120" t="s">
        <v>314</v>
      </c>
      <c r="O21" s="120" t="s">
        <v>318</v>
      </c>
      <c r="P21" s="120" t="s">
        <v>297</v>
      </c>
      <c r="Q21" s="120" t="s">
        <v>298</v>
      </c>
      <c r="R21" s="120" t="s">
        <v>299</v>
      </c>
      <c r="S21" s="120" t="s">
        <v>300</v>
      </c>
    </row>
    <row r="22" spans="1:20" ht="20.100000000000001" customHeight="1" x14ac:dyDescent="0.2">
      <c r="A22" s="5" t="str">
        <f>HYPERLINK("#'Input - Fert Prod System'!A1", "Fert Prod System")</f>
        <v>Fert Prod System</v>
      </c>
      <c r="D22" s="15" t="str">
        <f>INDEX(X_Table_Poultry_Stage1MMS,2,1)</f>
        <v>Poultry manure with bedding</v>
      </c>
      <c r="E22" s="15" t="str">
        <f>INDEX(X_Table_Poultry_Stage2MMS_PoultryManureWithBedding,2,1)</f>
        <v>Solid storage</v>
      </c>
      <c r="F22" s="15">
        <f>INDEX(M1_Table_MN_j_k_m_T2,2,3)</f>
        <v>0.71271158400000012</v>
      </c>
      <c r="G22" s="15">
        <f>INDEX(M1_Table_MN_j_k_m_T2,2,4)</f>
        <v>0.76073791680000002</v>
      </c>
      <c r="H22" s="15">
        <f>INDEX(M1_Table_MN_j_k_m_T2,2,5)</f>
        <v>0.89299319039999991</v>
      </c>
      <c r="I22" s="15">
        <f>INDEX(M1_Table_MN_j_k_m_T2,2,6)</f>
        <v>0.76073791680000002</v>
      </c>
      <c r="J22" s="16" t="str">
        <f>$G$13</f>
        <v>kg N</v>
      </c>
      <c r="N22" s="15" t="str">
        <f>INDEX(X_Table_Poultry_Stage1MMS,2,1)</f>
        <v>Poultry manure with bedding</v>
      </c>
      <c r="O22" s="15" t="str">
        <f>INDEX(X_Table_Poultry_Stage2MMS_PoultryManureWithBedding,2,1)</f>
        <v>Solid storage</v>
      </c>
      <c r="P22" s="15">
        <f>INDEX(M2_Table_MN_j_k_m_T2,2,3)</f>
        <v>0.71271158400000012</v>
      </c>
      <c r="Q22" s="15">
        <f>INDEX(M2_Table_MN_j_k_m_T2,2,4)</f>
        <v>0.76073791680000002</v>
      </c>
      <c r="R22" s="15">
        <f>INDEX(M2_Table_MN_j_k_m_T2,2,5)</f>
        <v>0.89299319039999991</v>
      </c>
      <c r="S22" s="15">
        <f>INDEX(M2_Table_MN_j_k_m_T2,2,6)</f>
        <v>0.76073791680000002</v>
      </c>
      <c r="T22" s="16" t="str">
        <f>$G$13</f>
        <v>kg N</v>
      </c>
    </row>
    <row r="23" spans="1:20" ht="20.100000000000001" customHeight="1" x14ac:dyDescent="0.2">
      <c r="A23" s="5" t="str">
        <f>HYPERLINK("#'Input - Fertiliser'!A1", "Fertiliser")</f>
        <v>Fertiliser</v>
      </c>
      <c r="D23" s="15"/>
      <c r="E23" s="15" t="str">
        <f>INDEX(X_Table_Poultry_Stage2MMS_PoultryManureWithBedding,3,1)</f>
        <v>Composting (passive windrow)</v>
      </c>
      <c r="F23" s="15">
        <f>'4.6.1.3-4 Direct N20'!F190</f>
        <v>0.71271158400000012</v>
      </c>
      <c r="G23" s="15">
        <f>'4.6.1.3-4 Direct N20'!G190</f>
        <v>0.76073791680000002</v>
      </c>
      <c r="H23" s="15">
        <f>'4.6.1.3-4 Direct N20'!H190</f>
        <v>0.89299319039999991</v>
      </c>
      <c r="I23" s="15">
        <f>'4.6.1.3-4 Direct N20'!I190</f>
        <v>0.76073791680000002</v>
      </c>
      <c r="J23" s="16"/>
      <c r="N23" s="15"/>
      <c r="O23" s="15" t="str">
        <f>INDEX(X_Table_Poultry_Stage2MMS_PoultryManureWithBedding,3,1)</f>
        <v>Composting (passive windrow)</v>
      </c>
      <c r="P23" s="15">
        <f>'4.6.1.3-4 Direct N20'!P190</f>
        <v>0.71271158400000012</v>
      </c>
      <c r="Q23" s="15">
        <f>'4.6.1.3-4 Direct N20'!Q190</f>
        <v>0.76073791680000002</v>
      </c>
      <c r="R23" s="15">
        <f>'4.6.1.3-4 Direct N20'!R190</f>
        <v>0.89299319039999991</v>
      </c>
      <c r="S23" s="15">
        <f>'4.6.1.3-4 Direct N20'!S190</f>
        <v>0.76073791680000002</v>
      </c>
      <c r="T23" s="16"/>
    </row>
    <row r="24" spans="1:20" ht="20.100000000000001" customHeight="1" x14ac:dyDescent="0.2">
      <c r="D24" s="15"/>
      <c r="E24" s="15" t="str">
        <f>INDEX(X_Table_Poultry_Stage2MMS_PoultryManureWithBedding,4,1)</f>
        <v>Digester / covered lagoons</v>
      </c>
      <c r="F24" s="15">
        <f>'4.6.1.3-4 Direct N20'!F191</f>
        <v>0.71271158400000012</v>
      </c>
      <c r="G24" s="15">
        <f>'4.6.1.3-4 Direct N20'!G191</f>
        <v>0.76073791680000002</v>
      </c>
      <c r="H24" s="15">
        <f>'4.6.1.3-4 Direct N20'!H191</f>
        <v>0.89299319039999991</v>
      </c>
      <c r="I24" s="15">
        <f>'4.6.1.3-4 Direct N20'!I191</f>
        <v>0.76073791680000002</v>
      </c>
      <c r="J24" s="16"/>
      <c r="N24" s="15"/>
      <c r="O24" s="15" t="str">
        <f>INDEX(X_Table_Poultry_Stage2MMS_PoultryManureWithBedding,4,1)</f>
        <v>Digester / covered lagoons</v>
      </c>
      <c r="P24" s="15">
        <f>'4.6.1.3-4 Direct N20'!P191</f>
        <v>0.71271158400000012</v>
      </c>
      <c r="Q24" s="15">
        <f>'4.6.1.3-4 Direct N20'!Q191</f>
        <v>0.76073791680000002</v>
      </c>
      <c r="R24" s="15">
        <f>'4.6.1.3-4 Direct N20'!R191</f>
        <v>0.89299319039999991</v>
      </c>
      <c r="S24" s="15">
        <f>'4.6.1.3-4 Direct N20'!S191</f>
        <v>0.76073791680000002</v>
      </c>
      <c r="T24" s="16"/>
    </row>
    <row r="25" spans="1:20" ht="20.100000000000001" customHeight="1" x14ac:dyDescent="0.2">
      <c r="D25" s="15"/>
      <c r="E25" s="15" t="str">
        <f>INDEX(X_Table_Poultry_Stage2MMS_PoultryManureWithBedding,5,1)</f>
        <v>Direct processing</v>
      </c>
      <c r="F25" s="15">
        <f>'4.6.1.3-4 Direct N20'!F192</f>
        <v>0.71271158400000012</v>
      </c>
      <c r="G25" s="15">
        <f>'4.6.1.3-4 Direct N20'!G192</f>
        <v>0.76073791680000002</v>
      </c>
      <c r="H25" s="15">
        <f>'4.6.1.3-4 Direct N20'!H192</f>
        <v>0.89299319039999991</v>
      </c>
      <c r="I25" s="15">
        <f>'4.6.1.3-4 Direct N20'!I192</f>
        <v>0.76073791680000002</v>
      </c>
      <c r="J25" s="16"/>
      <c r="N25" s="15"/>
      <c r="O25" s="15" t="str">
        <f>INDEX(X_Table_Poultry_Stage2MMS_PoultryManureWithBedding,5,1)</f>
        <v>Direct processing</v>
      </c>
      <c r="P25" s="15">
        <f>'4.6.1.3-4 Direct N20'!P192</f>
        <v>0.71271158400000012</v>
      </c>
      <c r="Q25" s="15">
        <f>'4.6.1.3-4 Direct N20'!Q192</f>
        <v>0.76073791680000002</v>
      </c>
      <c r="R25" s="15">
        <f>'4.6.1.3-4 Direct N20'!R192</f>
        <v>0.89299319039999991</v>
      </c>
      <c r="S25" s="15">
        <f>'4.6.1.3-4 Direct N20'!S192</f>
        <v>0.76073791680000002</v>
      </c>
      <c r="T25" s="16"/>
    </row>
    <row r="26" spans="1:20" ht="20.100000000000001" customHeight="1" x14ac:dyDescent="0.2">
      <c r="A26" s="6" t="s">
        <v>2</v>
      </c>
      <c r="D26" s="15"/>
      <c r="E26" s="15" t="str">
        <f>INDEX(X_Table_Poultry_Stage2MMS_PoultryManureWithBedding,6,1)</f>
        <v>Direct application</v>
      </c>
      <c r="F26" s="15">
        <f>'4.6.1.3-4 Direct N20'!F193</f>
        <v>0.7127115839999999</v>
      </c>
      <c r="G26" s="15">
        <f>'4.6.1.3-4 Direct N20'!G193</f>
        <v>0.7607379167999998</v>
      </c>
      <c r="H26" s="15">
        <f>'4.6.1.3-4 Direct N20'!H193</f>
        <v>0.89299319039999958</v>
      </c>
      <c r="I26" s="15">
        <f>'4.6.1.3-4 Direct N20'!I193</f>
        <v>0.7607379167999998</v>
      </c>
      <c r="N26" s="15"/>
      <c r="O26" s="15" t="str">
        <f>INDEX(X_Table_Poultry_Stage2MMS_PoultryManureWithBedding,6,1)</f>
        <v>Direct application</v>
      </c>
      <c r="P26" s="15">
        <f>'4.6.1.3-4 Direct N20'!P193</f>
        <v>0.7127115839999999</v>
      </c>
      <c r="Q26" s="15">
        <f>'4.6.1.3-4 Direct N20'!Q193</f>
        <v>0.7607379167999998</v>
      </c>
      <c r="R26" s="15">
        <f>'4.6.1.3-4 Direct N20'!R193</f>
        <v>0.89299319039999958</v>
      </c>
      <c r="S26" s="15">
        <f>'4.6.1.3-4 Direct N20'!S193</f>
        <v>0.7607379167999998</v>
      </c>
    </row>
    <row r="27" spans="1:20" ht="20.100000000000001" customHeight="1" x14ac:dyDescent="0.2">
      <c r="A27" s="5" t="str">
        <f>HYPERLINK("#'4.6.1.1-2 Methane'!A1", "4.6.1.1-2 Manure Methane")</f>
        <v>4.6.1.1-2 Manure Methane</v>
      </c>
      <c r="D27" s="15" t="str">
        <f>INDEX(X_Table_Poultry_Stage1MMS,3,1)</f>
        <v>Belt manure removal</v>
      </c>
      <c r="E27" s="15" t="str">
        <f>INDEX(X_Table_Poultry_Stage2MMS_BeltManureRemoval,2,1)</f>
        <v>Solid storage</v>
      </c>
      <c r="F27" s="15">
        <f>'4.6.1.3-4 Direct N20'!F194</f>
        <v>0.96761558400000025</v>
      </c>
      <c r="G27" s="15">
        <f>'4.6.1.3-4 Direct N20'!G194</f>
        <v>1.0328187168</v>
      </c>
      <c r="H27" s="15">
        <f>'4.6.1.3-4 Direct N20'!H194</f>
        <v>1.2123755904</v>
      </c>
      <c r="I27" s="15">
        <f>'4.6.1.3-4 Direct N20'!I194</f>
        <v>1.0328187168</v>
      </c>
      <c r="J27" s="16"/>
      <c r="N27" s="15" t="str">
        <f>INDEX(X_Table_Poultry_Stage1MMS,3,1)</f>
        <v>Belt manure removal</v>
      </c>
      <c r="O27" s="15" t="str">
        <f>INDEX(X_Table_Poultry_Stage2MMS_BeltManureRemoval,2,1)</f>
        <v>Solid storage</v>
      </c>
      <c r="P27" s="15">
        <f>'4.6.1.3-4 Direct N20'!P194</f>
        <v>0.96761558400000025</v>
      </c>
      <c r="Q27" s="15">
        <f>'4.6.1.3-4 Direct N20'!Q194</f>
        <v>1.0328187168</v>
      </c>
      <c r="R27" s="15">
        <f>'4.6.1.3-4 Direct N20'!R194</f>
        <v>1.2123755904</v>
      </c>
      <c r="S27" s="15">
        <f>'4.6.1.3-4 Direct N20'!S194</f>
        <v>1.0328187168</v>
      </c>
      <c r="T27" s="16"/>
    </row>
    <row r="28" spans="1:20" ht="20.100000000000001" customHeight="1" x14ac:dyDescent="0.2">
      <c r="A28" s="5" t="str">
        <f>HYPERLINK("#'4.6.1.3-4 Direct N20'!A1", "4.6.1.3-4 Manure Direct N2O")</f>
        <v>4.6.1.3-4 Manure Direct N2O</v>
      </c>
      <c r="D28" s="15"/>
      <c r="E28" s="15" t="str">
        <f>INDEX(X_Table_Poultry_Stage2MMS_BeltManureRemoval,3,1)</f>
        <v>Composting (passive windrow)</v>
      </c>
      <c r="F28" s="15">
        <f>'4.6.1.3-4 Direct N20'!F195</f>
        <v>0.96761558400000025</v>
      </c>
      <c r="G28" s="15">
        <f>'4.6.1.3-4 Direct N20'!G195</f>
        <v>1.0328187168</v>
      </c>
      <c r="H28" s="15">
        <f>'4.6.1.3-4 Direct N20'!H195</f>
        <v>1.2123755904</v>
      </c>
      <c r="I28" s="15">
        <f>'4.6.1.3-4 Direct N20'!I195</f>
        <v>1.0328187168</v>
      </c>
      <c r="J28" s="16"/>
      <c r="N28" s="15"/>
      <c r="O28" s="15" t="str">
        <f>INDEX(X_Table_Poultry_Stage2MMS_BeltManureRemoval,3,1)</f>
        <v>Composting (passive windrow)</v>
      </c>
      <c r="P28" s="15">
        <f>'4.6.1.3-4 Direct N20'!P195</f>
        <v>0.96761558400000025</v>
      </c>
      <c r="Q28" s="15">
        <f>'4.6.1.3-4 Direct N20'!Q195</f>
        <v>1.0328187168</v>
      </c>
      <c r="R28" s="15">
        <f>'4.6.1.3-4 Direct N20'!R195</f>
        <v>1.2123755904</v>
      </c>
      <c r="S28" s="15">
        <f>'4.6.1.3-4 Direct N20'!S195</f>
        <v>1.0328187168</v>
      </c>
      <c r="T28" s="16"/>
    </row>
    <row r="29" spans="1:20" ht="20.100000000000001" customHeight="1" x14ac:dyDescent="0.2">
      <c r="A29" s="5" t="str">
        <f>HYPERLINK("#'4.6.1.5-6 Atmos Dep'!A1", "4.6.1.5-6 Manure Atmos Dep")</f>
        <v>4.6.1.5-6 Manure Atmos Dep</v>
      </c>
      <c r="D29" s="15"/>
      <c r="E29" s="15" t="str">
        <f>INDEX(X_Table_Poultry_Stage2MMS_BeltManureRemoval,4,1)</f>
        <v>Digester / covered lagoons</v>
      </c>
      <c r="F29" s="15">
        <f>'4.6.1.3-4 Direct N20'!F196</f>
        <v>0.96761558400000025</v>
      </c>
      <c r="G29" s="15">
        <f>'4.6.1.3-4 Direct N20'!G196</f>
        <v>1.0328187168</v>
      </c>
      <c r="H29" s="15">
        <f>'4.6.1.3-4 Direct N20'!H196</f>
        <v>1.2123755904</v>
      </c>
      <c r="I29" s="15">
        <f>'4.6.1.3-4 Direct N20'!I196</f>
        <v>1.0328187168</v>
      </c>
      <c r="J29" s="16"/>
      <c r="N29" s="15"/>
      <c r="O29" s="15" t="str">
        <f>INDEX(X_Table_Poultry_Stage2MMS_BeltManureRemoval,4,1)</f>
        <v>Digester / covered lagoons</v>
      </c>
      <c r="P29" s="15">
        <f>'4.6.1.3-4 Direct N20'!P196</f>
        <v>0.96761558400000025</v>
      </c>
      <c r="Q29" s="15">
        <f>'4.6.1.3-4 Direct N20'!Q196</f>
        <v>1.0328187168</v>
      </c>
      <c r="R29" s="15">
        <f>'4.6.1.3-4 Direct N20'!R196</f>
        <v>1.2123755904</v>
      </c>
      <c r="S29" s="15">
        <f>'4.6.1.3-4 Direct N20'!S196</f>
        <v>1.0328187168</v>
      </c>
      <c r="T29" s="16"/>
    </row>
    <row r="30" spans="1:20" ht="20.100000000000001" customHeight="1" x14ac:dyDescent="0.2">
      <c r="A30" s="5" t="str">
        <f>HYPERLINK("#'4.6.1.7-8 Leaching and runoff'!A1", "4.6.1.7-8 Manure Leaching and runoff")</f>
        <v>4.6.1.7-8 Manure Leaching and runoff</v>
      </c>
      <c r="D30" s="15"/>
      <c r="E30" s="15" t="str">
        <f>INDEX(X_Table_Poultry_Stage2MMS_BeltManureRemoval,5,1)</f>
        <v>Direct processing</v>
      </c>
      <c r="F30" s="15">
        <f>'4.6.1.3-4 Direct N20'!F197</f>
        <v>0.96761558400000025</v>
      </c>
      <c r="G30" s="15">
        <f>'4.6.1.3-4 Direct N20'!G197</f>
        <v>1.0328187168</v>
      </c>
      <c r="H30" s="15">
        <f>'4.6.1.3-4 Direct N20'!H197</f>
        <v>1.2123755904</v>
      </c>
      <c r="I30" s="15">
        <f>'4.6.1.3-4 Direct N20'!I197</f>
        <v>1.0328187168</v>
      </c>
      <c r="J30" s="16"/>
      <c r="N30" s="15"/>
      <c r="O30" s="15" t="str">
        <f>INDEX(X_Table_Poultry_Stage2MMS_BeltManureRemoval,5,1)</f>
        <v>Direct processing</v>
      </c>
      <c r="P30" s="15">
        <f>'4.6.1.3-4 Direct N20'!P197</f>
        <v>0.96761558400000025</v>
      </c>
      <c r="Q30" s="15">
        <f>'4.6.1.3-4 Direct N20'!Q197</f>
        <v>1.0328187168</v>
      </c>
      <c r="R30" s="15">
        <f>'4.6.1.3-4 Direct N20'!R197</f>
        <v>1.2123755904</v>
      </c>
      <c r="S30" s="15">
        <f>'4.6.1.3-4 Direct N20'!S197</f>
        <v>1.0328187168</v>
      </c>
      <c r="T30" s="16"/>
    </row>
    <row r="31" spans="1:20" ht="20.100000000000001" customHeight="1" x14ac:dyDescent="0.2">
      <c r="A31" s="117" t="str">
        <f>HYPERLINK("#'4.6.1.9 Manure applied to soils'!A1", "4.6.1.9 Manure applied to soils")</f>
        <v>4.6.1.9 Manure applied to soils</v>
      </c>
      <c r="D31" s="15"/>
      <c r="E31" s="15" t="str">
        <f>INDEX(X_Table_Poultry_Stage2MMS_BeltManureRemoval,6,1)</f>
        <v>Direct application</v>
      </c>
      <c r="F31" s="15">
        <f>'4.6.1.3-4 Direct N20'!F198</f>
        <v>0.96761558399999992</v>
      </c>
      <c r="G31" s="15">
        <f>'4.6.1.3-4 Direct N20'!G198</f>
        <v>1.0328187167999998</v>
      </c>
      <c r="H31" s="15">
        <f>'4.6.1.3-4 Direct N20'!H198</f>
        <v>1.2123755903999998</v>
      </c>
      <c r="I31" s="15">
        <f>'4.6.1.3-4 Direct N20'!I198</f>
        <v>1.0328187167999998</v>
      </c>
      <c r="N31" s="15"/>
      <c r="O31" s="15" t="str">
        <f>INDEX(X_Table_Poultry_Stage2MMS_BeltManureRemoval,6,1)</f>
        <v>Direct application</v>
      </c>
      <c r="P31" s="15">
        <f>'4.6.1.3-4 Direct N20'!P198</f>
        <v>0.96761558399999992</v>
      </c>
      <c r="Q31" s="15">
        <f>'4.6.1.3-4 Direct N20'!Q198</f>
        <v>1.0328187167999998</v>
      </c>
      <c r="R31" s="15">
        <f>'4.6.1.3-4 Direct N20'!R198</f>
        <v>1.2123755903999998</v>
      </c>
      <c r="S31" s="15">
        <f>'4.6.1.3-4 Direct N20'!S198</f>
        <v>1.0328187167999998</v>
      </c>
    </row>
    <row r="32" spans="1:20" ht="20.100000000000001" customHeight="1" x14ac:dyDescent="0.2">
      <c r="A32" s="5" t="str">
        <f>HYPERLINK("#'4.6.1.10-11 Soil direct N2O'!A1", "4.6.1.10-11 Soil direct N2O")</f>
        <v>4.6.1.10-11 Soil direct N2O</v>
      </c>
      <c r="D32" s="15" t="str">
        <f>INDEX(X_Table_Poultry_Stage1MMS,4,1)</f>
        <v>Manure stored in house</v>
      </c>
      <c r="E32" s="15" t="str">
        <f>INDEX(X_Table_Poultry_Stage2MMS_ManureStoredInHouse,2,1)</f>
        <v>Solid storage</v>
      </c>
      <c r="F32" s="15">
        <f>'4.6.1.3-4 Direct N20'!F199</f>
        <v>0.61074998400000013</v>
      </c>
      <c r="G32" s="15">
        <f>'4.6.1.3-4 Direct N20'!G199</f>
        <v>0.65190559679999993</v>
      </c>
      <c r="H32" s="15">
        <f>'4.6.1.3-4 Direct N20'!H199</f>
        <v>0.76524023039999989</v>
      </c>
      <c r="I32" s="15">
        <f>'4.6.1.3-4 Direct N20'!I199</f>
        <v>0.65190559679999993</v>
      </c>
      <c r="J32" s="16"/>
      <c r="N32" s="15" t="str">
        <f>INDEX(X_Table_Poultry_Stage1MMS,4,1)</f>
        <v>Manure stored in house</v>
      </c>
      <c r="O32" s="15" t="str">
        <f>INDEX(X_Table_Poultry_Stage2MMS_ManureStoredInHouse,2,1)</f>
        <v>Solid storage</v>
      </c>
      <c r="P32" s="15">
        <f>'4.6.1.3-4 Direct N20'!P199</f>
        <v>0.61074998400000013</v>
      </c>
      <c r="Q32" s="15">
        <f>'4.6.1.3-4 Direct N20'!Q199</f>
        <v>0.65190559679999993</v>
      </c>
      <c r="R32" s="15">
        <f>'4.6.1.3-4 Direct N20'!R199</f>
        <v>0.76524023039999989</v>
      </c>
      <c r="S32" s="15">
        <f>'4.6.1.3-4 Direct N20'!S199</f>
        <v>0.65190559679999993</v>
      </c>
      <c r="T32" s="16"/>
    </row>
    <row r="33" spans="1:20" ht="20.100000000000001" customHeight="1" x14ac:dyDescent="0.2">
      <c r="A33" s="5" t="str">
        <f>HYPERLINK("#'4.6.1.12-13 Soil atmos dep'!A1", "4.6.1.12-13 Soil atmos dep")</f>
        <v>4.6.1.12-13 Soil atmos dep</v>
      </c>
      <c r="D33" s="15"/>
      <c r="E33" s="15" t="str">
        <f>INDEX(X_Table_Poultry_Stage2MMS_ManureStoredInHouse,3,1)</f>
        <v>Composting (passive windrow)</v>
      </c>
      <c r="F33" s="15">
        <f>'4.6.1.3-4 Direct N20'!F200</f>
        <v>0.61074998400000013</v>
      </c>
      <c r="G33" s="15">
        <f>'4.6.1.3-4 Direct N20'!G200</f>
        <v>0.65190559679999993</v>
      </c>
      <c r="H33" s="15">
        <f>'4.6.1.3-4 Direct N20'!H200</f>
        <v>0.76524023039999989</v>
      </c>
      <c r="I33" s="15">
        <f>'4.6.1.3-4 Direct N20'!I200</f>
        <v>0.65190559679999993</v>
      </c>
      <c r="J33" s="16"/>
      <c r="N33" s="15"/>
      <c r="O33" s="15" t="str">
        <f>INDEX(X_Table_Poultry_Stage2MMS_ManureStoredInHouse,3,1)</f>
        <v>Composting (passive windrow)</v>
      </c>
      <c r="P33" s="15">
        <f>'4.6.1.3-4 Direct N20'!P200</f>
        <v>0.61074998400000013</v>
      </c>
      <c r="Q33" s="15">
        <f>'4.6.1.3-4 Direct N20'!Q200</f>
        <v>0.65190559679999993</v>
      </c>
      <c r="R33" s="15">
        <f>'4.6.1.3-4 Direct N20'!R200</f>
        <v>0.76524023039999989</v>
      </c>
      <c r="S33" s="15">
        <f>'4.6.1.3-4 Direct N20'!S200</f>
        <v>0.65190559679999993</v>
      </c>
      <c r="T33" s="16"/>
    </row>
    <row r="34" spans="1:20" ht="20.100000000000001" customHeight="1" x14ac:dyDescent="0.2">
      <c r="A34" s="5" t="str">
        <f>HYPERLINK("#'4.6.1.14-15 Soil leach runoff'!A1", "4.6.1.14-15 Soil leach runoff")</f>
        <v>4.6.1.14-15 Soil leach runoff</v>
      </c>
      <c r="D34" s="15"/>
      <c r="E34" s="15" t="str">
        <f>INDEX(X_Table_Poultry_Stage2MMS_ManureStoredInHouse,4,1)</f>
        <v>Digester / covered lagoons</v>
      </c>
      <c r="F34" s="15">
        <f>'4.6.1.3-4 Direct N20'!F201</f>
        <v>0.61074998400000013</v>
      </c>
      <c r="G34" s="15">
        <f>'4.6.1.3-4 Direct N20'!G201</f>
        <v>0.65190559679999993</v>
      </c>
      <c r="H34" s="15">
        <f>'4.6.1.3-4 Direct N20'!H201</f>
        <v>0.76524023039999989</v>
      </c>
      <c r="I34" s="15">
        <f>'4.6.1.3-4 Direct N20'!I201</f>
        <v>0.65190559679999993</v>
      </c>
      <c r="J34" s="16"/>
      <c r="N34" s="15"/>
      <c r="O34" s="15" t="str">
        <f>INDEX(X_Table_Poultry_Stage2MMS_ManureStoredInHouse,4,1)</f>
        <v>Digester / covered lagoons</v>
      </c>
      <c r="P34" s="15">
        <f>'4.6.1.3-4 Direct N20'!P201</f>
        <v>0.61074998400000013</v>
      </c>
      <c r="Q34" s="15">
        <f>'4.6.1.3-4 Direct N20'!Q201</f>
        <v>0.65190559679999993</v>
      </c>
      <c r="R34" s="15">
        <f>'4.6.1.3-4 Direct N20'!R201</f>
        <v>0.76524023039999989</v>
      </c>
      <c r="S34" s="15">
        <f>'4.6.1.3-4 Direct N20'!S201</f>
        <v>0.65190559679999993</v>
      </c>
      <c r="T34" s="16"/>
    </row>
    <row r="35" spans="1:20" ht="20.100000000000001" customHeight="1" x14ac:dyDescent="0.2">
      <c r="A35" s="5" t="str">
        <f>HYPERLINK("#'8.1.1.1-2 Transport fuel'!A1", "8.1.1.1-2 Transport fuel")</f>
        <v>8.1.1.1-2 Transport fuel</v>
      </c>
      <c r="D35" s="15"/>
      <c r="E35" s="15" t="str">
        <f>INDEX(X_Table_Poultry_Stage2MMS_ManureStoredInHouse,5,1)</f>
        <v>Direct processing</v>
      </c>
      <c r="F35" s="15">
        <f>'4.6.1.3-4 Direct N20'!F202</f>
        <v>0.61074998400000013</v>
      </c>
      <c r="G35" s="15">
        <f>'4.6.1.3-4 Direct N20'!G202</f>
        <v>0.65190559679999993</v>
      </c>
      <c r="H35" s="15">
        <f>'4.6.1.3-4 Direct N20'!H202</f>
        <v>0.76524023039999989</v>
      </c>
      <c r="I35" s="15">
        <f>'4.6.1.3-4 Direct N20'!I202</f>
        <v>0.65190559679999993</v>
      </c>
      <c r="J35" s="16"/>
      <c r="N35" s="15"/>
      <c r="O35" s="15" t="str">
        <f>INDEX(X_Table_Poultry_Stage2MMS_ManureStoredInHouse,5,1)</f>
        <v>Direct processing</v>
      </c>
      <c r="P35" s="15">
        <f>'4.6.1.3-4 Direct N20'!P202</f>
        <v>0.61074998400000013</v>
      </c>
      <c r="Q35" s="15">
        <f>'4.6.1.3-4 Direct N20'!Q202</f>
        <v>0.65190559679999993</v>
      </c>
      <c r="R35" s="15">
        <f>'4.6.1.3-4 Direct N20'!R202</f>
        <v>0.76524023039999989</v>
      </c>
      <c r="S35" s="15">
        <f>'4.6.1.3-4 Direct N20'!S202</f>
        <v>0.65190559679999993</v>
      </c>
      <c r="T35" s="16"/>
    </row>
    <row r="36" spans="1:20" ht="20.100000000000001" customHeight="1" x14ac:dyDescent="0.2">
      <c r="A36" s="5" t="str">
        <f>HYPERLINK("#'8.2.1.1-2 Stationary fuel'!A1", "8.2.1.1-2 Stationary fuel")</f>
        <v>8.2.1.1-2 Stationary fuel</v>
      </c>
      <c r="D36" s="15"/>
      <c r="E36" s="15" t="str">
        <f>INDEX(X_Table_Poultry_Stage2MMS_ManureStoredInHouse,6,1)</f>
        <v>Direct application</v>
      </c>
      <c r="F36" s="15">
        <f>'4.6.1.3-4 Direct N20'!F203</f>
        <v>0.61074998399999991</v>
      </c>
      <c r="G36" s="15">
        <f>'4.6.1.3-4 Direct N20'!G203</f>
        <v>0.65190559679999971</v>
      </c>
      <c r="H36" s="15">
        <f>'4.6.1.3-4 Direct N20'!H203</f>
        <v>0.76524023039999967</v>
      </c>
      <c r="I36" s="15">
        <f>'4.6.1.3-4 Direct N20'!I203</f>
        <v>0.65190559679999971</v>
      </c>
      <c r="N36" s="15"/>
      <c r="O36" s="15" t="str">
        <f>INDEX(X_Table_Poultry_Stage2MMS_ManureStoredInHouse,6,1)</f>
        <v>Direct application</v>
      </c>
      <c r="P36" s="15">
        <f>'4.6.1.3-4 Direct N20'!P203</f>
        <v>0.61074998399999991</v>
      </c>
      <c r="Q36" s="15">
        <f>'4.6.1.3-4 Direct N20'!Q203</f>
        <v>0.65190559679999971</v>
      </c>
      <c r="R36" s="15">
        <f>'4.6.1.3-4 Direct N20'!R203</f>
        <v>0.76524023039999967</v>
      </c>
      <c r="S36" s="15">
        <f>'4.6.1.3-4 Direct N20'!S203</f>
        <v>0.65190559679999971</v>
      </c>
    </row>
    <row r="37" spans="1:20" ht="20.100000000000001" customHeight="1" x14ac:dyDescent="0.2">
      <c r="A37" s="5" t="str">
        <f>HYPERLINK("#'10.1.1-2 Solid waste treatment'!A1", "10.1.1.1-2 Solid waste")</f>
        <v>10.1.1.1-2 Solid waste</v>
      </c>
    </row>
    <row r="38" spans="1:20" ht="20.100000000000001" customHeight="1" x14ac:dyDescent="0.2">
      <c r="A38" s="5" t="str">
        <f>HYPERLINK("#'14.1.1-2 Purchased electricity'!A1", "14.1.1-2 Purchased electricity")</f>
        <v>14.1.1-2 Purchased electricity</v>
      </c>
      <c r="D38" s="118" t="s">
        <v>404</v>
      </c>
    </row>
    <row r="39" spans="1:20" ht="20.100000000000001" customHeight="1" x14ac:dyDescent="0.2">
      <c r="A39" s="5" t="str">
        <f>HYPERLINK("#'15 Scope 3'!A1", "15 Scope 3")</f>
        <v>15 Scope 3</v>
      </c>
      <c r="D39" s="119" t="s">
        <v>405</v>
      </c>
    </row>
    <row r="40" spans="1:20" ht="20.100000000000001" customHeight="1" x14ac:dyDescent="0.2">
      <c r="A40" s="5" t="str">
        <f>HYPERLINK("#'Calcs - Manure sent off-site'!A1", "Calcs - Manure sent off-site")</f>
        <v>Calcs - Manure sent off-site</v>
      </c>
      <c r="D40" s="120" t="s">
        <v>314</v>
      </c>
      <c r="E40" s="120" t="s">
        <v>406</v>
      </c>
    </row>
    <row r="41" spans="1:20" ht="20.100000000000001" customHeight="1" x14ac:dyDescent="0.2">
      <c r="A41" s="5" t="str">
        <f>HYPERLINK("#'5.1.1.1-2 Inorganic fert N2O'!A1", "5.1.1.1-2 Inorganic fert N2O")</f>
        <v>5.1.1.1-2 Inorganic fert N2O</v>
      </c>
      <c r="D41" s="15" t="str">
        <f>'Constants - Poultry'!$D$29</f>
        <v>Poultry manure with bedding</v>
      </c>
      <c r="E41" s="15" cm="1">
        <f t="array" ref="E41">Common_InputFunctions.Utility_LookupValueInTableNumber(D41, Table_SourceData_Poultry_EFmT[NIR reference],Table_SourceData_Poultry_EFmT[EFmT])</f>
        <v>1E-3</v>
      </c>
      <c r="F41" s="16" t="str">
        <f>$G$14</f>
        <v>kg N2O-N/kg N</v>
      </c>
    </row>
    <row r="42" spans="1:20" ht="20.100000000000001" customHeight="1" x14ac:dyDescent="0.2">
      <c r="A42" s="5" t="str">
        <f>HYPERLINK("#'5.1.1.3-4 Inorganic fert CO2'!A1", "5.1.1.3-4 Inorganic fert CO2")</f>
        <v>5.1.1.3-4 Inorganic fert CO2</v>
      </c>
      <c r="D42" s="15" t="str">
        <f>'Constants - Poultry'!$D$30</f>
        <v>Belt manure removal</v>
      </c>
      <c r="E42" s="15" cm="1">
        <f t="array" ref="E42">Common_InputFunctions.Utility_LookupValueInTableNumber(D42, Table_SourceData_Poultry_EFmT[NIR reference],Table_SourceData_Poultry_EFmT[EFmT])</f>
        <v>1E-3</v>
      </c>
    </row>
    <row r="43" spans="1:20" ht="20.100000000000001" customHeight="1" x14ac:dyDescent="0.2">
      <c r="A43" s="5" t="str">
        <f>HYPERLINK("#'5.2.1.1-2 Organic Fert N2O'!A1", "5.2.1.1-2 Organic Fert N2O")</f>
        <v>5.2.1.1-2 Organic Fert N2O</v>
      </c>
      <c r="D43" s="15" t="str">
        <f>'Constants - Poultry'!$D$31</f>
        <v>Manure stored in house</v>
      </c>
      <c r="E43" s="15" cm="1">
        <f t="array" ref="E43">Common_InputFunctions.Utility_LookupValueInTableNumber(D43, Table_SourceData_Poultry_EFmT[NIR reference],Table_SourceData_Poultry_EFmT[EFmT])</f>
        <v>1E-3</v>
      </c>
    </row>
    <row r="44" spans="1:20" ht="20.100000000000001" customHeight="1" x14ac:dyDescent="0.2">
      <c r="A44" s="5" t="str">
        <f>HYPERLINK("#'5.3.1.1-2 Lime CO2'!A1", "5.3.1.1-2 Lime CO2")</f>
        <v>5.3.1.1-2 Lime CO2</v>
      </c>
      <c r="D44" s="15" t="str">
        <f>'Constants - Poultry'!$D$32</f>
        <v>Pasture range and paddock</v>
      </c>
      <c r="E44" s="15" cm="1">
        <f t="array" ref="E44">Common_InputFunctions.Utility_LookupValueInTableNumber(D44, Table_SourceData_Poultry_EFmT[NIR reference],Table_SourceData_Poultry_EFmT[EFmT])</f>
        <v>0.02</v>
      </c>
    </row>
    <row r="45" spans="1:20" ht="20.100000000000001" customHeight="1" x14ac:dyDescent="0.2">
      <c r="A45" s="5" t="str">
        <f>HYPERLINK("#'5.4.1.1-4 Atmos deposition'!A1", "5.4.1.1-4 Atmos deposition")</f>
        <v>5.4.1.1-4 Atmos deposition</v>
      </c>
      <c r="D45" s="15" t="str">
        <f>'Constants - Poultry'!$D$33</f>
        <v>Solid storage</v>
      </c>
      <c r="E45" s="15" cm="1">
        <f t="array" ref="E45">Common_InputFunctions.Utility_LookupValueInTableNumber(D45, Table_SourceData_Poultry_EFmT[NIR reference],Table_SourceData_Poultry_EFmT[EFmT])</f>
        <v>5.0000000000000001E-3</v>
      </c>
    </row>
    <row r="46" spans="1:20" ht="20.100000000000001" customHeight="1" x14ac:dyDescent="0.2">
      <c r="A46" s="5" t="str">
        <f>HYPERLINK("#'5.5.1.1-2 Leaching and runoff'!A1", "5.5.1.1-2 Leaching and runoff")</f>
        <v>5.5.1.1-2 Leaching and runoff</v>
      </c>
      <c r="D46" s="15" t="str">
        <f>'Constants - Poultry'!$D$34</f>
        <v>Composting (passive windrow)</v>
      </c>
      <c r="E46" s="15" cm="1">
        <f t="array" ref="E46">Common_InputFunctions.Utility_LookupValueInTableNumber(D46, Table_SourceData_Poultry_EFmT[NIR reference],Table_SourceData_Poultry_EFmT[EFmT])</f>
        <v>0.01</v>
      </c>
    </row>
    <row r="47" spans="1:20" ht="20.100000000000001" customHeight="1" x14ac:dyDescent="0.2">
      <c r="D47" s="15" t="str">
        <f>'Constants - Poultry'!$D$35</f>
        <v>Digester / covered lagoons</v>
      </c>
      <c r="E47" s="15" cm="1">
        <f t="array" ref="E47">Common_InputFunctions.Utility_LookupValueInTableNumber(D47, Table_SourceData_Poultry_EFmT[NIR reference],Table_SourceData_Poultry_EFmT[EFmT])</f>
        <v>0</v>
      </c>
    </row>
    <row r="48" spans="1:20" ht="20.100000000000001" customHeight="1" x14ac:dyDescent="0.2">
      <c r="D48" s="15" t="str">
        <f>'Constants - Poultry'!$D$36</f>
        <v>Direct processing</v>
      </c>
      <c r="E48" s="15" cm="1">
        <f t="array" ref="E48">Common_InputFunctions.Utility_LookupValueInTableNumber(D48, Table_SourceData_Poultry_EFmT[NIR reference],Table_SourceData_Poultry_EFmT[EFmT])</f>
        <v>0</v>
      </c>
    </row>
    <row r="49" spans="1:14" ht="20.100000000000001" customHeight="1" x14ac:dyDescent="0.2">
      <c r="A49" s="80" t="s">
        <v>1</v>
      </c>
      <c r="D49" s="15" t="str">
        <f>'Constants - Poultry'!$D$37</f>
        <v>Direct application</v>
      </c>
      <c r="E49" s="15" cm="1">
        <f t="array" ref="E49">Common_InputFunctions.Utility_LookupValueInTableNumber(D49, Table_SourceData_Poultry_EFmT[NIR reference],Table_SourceData_Poultry_EFmT[EFmT])</f>
        <v>0</v>
      </c>
    </row>
    <row r="50" spans="1:14" ht="20.100000000000001" customHeight="1" x14ac:dyDescent="0.2">
      <c r="A50" s="5" t="str">
        <f>HYPERLINK("#'Constants - Poultry'!A1", "Constants - Poultry")</f>
        <v>Constants - Poultry</v>
      </c>
    </row>
    <row r="51" spans="1:14" ht="20.100000000000001" customHeight="1" x14ac:dyDescent="0.2">
      <c r="A51" s="5" t="str">
        <f>HYPERLINK("#'Constants - Common livestock'!A1", "Constants - Common Livestock")</f>
        <v>Constants - Common Livestock</v>
      </c>
      <c r="D51" s="118" t="s">
        <v>428</v>
      </c>
    </row>
    <row r="52" spans="1:14" ht="20.100000000000001" customHeight="1" x14ac:dyDescent="0.2">
      <c r="A52" s="5" t="str">
        <f>HYPERLINK("#'Constants - Electricity'!A1", "Constants - Electricity")</f>
        <v>Constants - Electricity</v>
      </c>
      <c r="D52" s="119" t="s">
        <v>429</v>
      </c>
    </row>
    <row r="53" spans="1:14" ht="20.100000000000001" customHeight="1" x14ac:dyDescent="0.2">
      <c r="A53" s="5" t="str">
        <f>HYPERLINK("#'Constants - Fertiliser'!A1", "Constants - Fertiliser")</f>
        <v>Constants - Fertiliser</v>
      </c>
      <c r="D53" s="120" t="s">
        <v>350</v>
      </c>
      <c r="E53" s="120" t="s">
        <v>403</v>
      </c>
    </row>
    <row r="54" spans="1:14" ht="20.100000000000001" customHeight="1" x14ac:dyDescent="0.2">
      <c r="A54" s="5" t="str">
        <f>HYPERLINK("#'Constants - Fuel'!A1", "Constants - Fuel")</f>
        <v>Constants - Fuel</v>
      </c>
      <c r="D54" s="15" t="str">
        <f>'Constants - Poultry'!$D$29</f>
        <v>Poultry manure with bedding</v>
      </c>
      <c r="E54" s="15" cm="1">
        <f t="array" ref="E54">Common_InputFunctions.Utility_LookupValueInTableNumber(D54, Table_SourceData_Poultry_FracGASM[NIR reference],Table_SourceData_Poultry_FracGASM[FracGASMmT])</f>
        <v>0.3</v>
      </c>
      <c r="F54" s="16" t="str">
        <f>$G$15</f>
        <v>(kg NH3-N + NOx-N)/kg N</v>
      </c>
    </row>
    <row r="55" spans="1:14" ht="20.100000000000001" customHeight="1" x14ac:dyDescent="0.2">
      <c r="A55" s="5" t="str">
        <f>HYPERLINK("#'Constants - Scope 3'!A1", "Constants - Scope 3")</f>
        <v>Constants - Scope 3</v>
      </c>
      <c r="D55" s="15" t="str">
        <f>'Constants - Poultry'!$D$30</f>
        <v>Belt manure removal</v>
      </c>
      <c r="E55" s="15" cm="1">
        <f t="array" ref="E55">Common_InputFunctions.Utility_LookupValueInTableNumber(D55, Table_SourceData_Poultry_FracGASM[NIR reference],Table_SourceData_Poultry_FracGASM[FracGASMmT])</f>
        <v>0.05</v>
      </c>
    </row>
    <row r="56" spans="1:14" ht="20.100000000000001" customHeight="1" x14ac:dyDescent="0.2">
      <c r="A56" s="5" t="str">
        <f>HYPERLINK("#'Constants - Solid Waste'!A1", "Constants - Solid Waste")</f>
        <v>Constants - Solid Waste</v>
      </c>
      <c r="D56" s="15" t="str">
        <f>'Constants - Poultry'!$D$31</f>
        <v>Manure stored in house</v>
      </c>
      <c r="E56" s="15" cm="1">
        <f t="array" ref="E56">Common_InputFunctions.Utility_LookupValueInTableNumber(D56, Table_SourceData_Poultry_FracGASM[NIR reference],Table_SourceData_Poultry_FracGASM[FracGASMmT])</f>
        <v>0.4</v>
      </c>
    </row>
    <row r="57" spans="1:14" ht="20.100000000000001" customHeight="1" x14ac:dyDescent="0.2">
      <c r="A57" s="5" t="str">
        <f>HYPERLINK("#'Constants - Common'!A1", "Constants - Common")</f>
        <v>Constants - Common</v>
      </c>
      <c r="D57" s="15" t="str">
        <f>'Constants - Poultry'!$D$32</f>
        <v>Pasture range and paddock</v>
      </c>
      <c r="E57" s="15" cm="1">
        <f t="array" ref="E57">Common_InputFunctions.Utility_LookupValueInTableNumber(D57, Table_SourceData_Poultry_FracGASM[NIR reference],Table_SourceData_Poultry_FracGASM[FracGASMmT])</f>
        <v>0</v>
      </c>
    </row>
    <row r="58" spans="1:14" ht="20.100000000000001" customHeight="1" x14ac:dyDescent="0.2">
      <c r="D58" s="15" t="str">
        <f>'Constants - Poultry'!$D$33</f>
        <v>Solid storage</v>
      </c>
      <c r="E58" s="15" cm="1">
        <f t="array" ref="E58">Common_InputFunctions.Utility_LookupValueInTableNumber(D58, Table_SourceData_Poultry_FracGASM[NIR reference],Table_SourceData_Poultry_FracGASM[FracGASMmT])</f>
        <v>0.2</v>
      </c>
    </row>
    <row r="59" spans="1:14" ht="20.100000000000001" customHeight="1" x14ac:dyDescent="0.2">
      <c r="D59" s="15" t="str">
        <f>'Constants - Poultry'!$D$34</f>
        <v>Composting (passive windrow)</v>
      </c>
      <c r="E59" s="15" cm="1">
        <f t="array" ref="E59">Common_InputFunctions.Utility_LookupValueInTableNumber(D59, Table_SourceData_Poultry_FracGASM[NIR reference],Table_SourceData_Poultry_FracGASM[FracGASMmT])</f>
        <v>0.2</v>
      </c>
    </row>
    <row r="60" spans="1:14" ht="20.100000000000001" customHeight="1" x14ac:dyDescent="0.2">
      <c r="D60" s="15" t="str">
        <f>'Constants - Poultry'!$D$35</f>
        <v>Digester / covered lagoons</v>
      </c>
      <c r="E60" s="15" cm="1">
        <f t="array" ref="E60">Common_InputFunctions.Utility_LookupValueInTableNumber(D60, Table_SourceData_Poultry_FracGASM[NIR reference],Table_SourceData_Poultry_FracGASM[FracGASMmT])</f>
        <v>0</v>
      </c>
    </row>
    <row r="61" spans="1:14" ht="20.100000000000001" customHeight="1" x14ac:dyDescent="0.2">
      <c r="D61" s="15" t="str">
        <f>'Constants - Poultry'!$D$36</f>
        <v>Direct processing</v>
      </c>
      <c r="E61" s="15" cm="1">
        <f t="array" ref="E61">Common_InputFunctions.Utility_LookupValueInTableNumber(D61, Table_SourceData_Poultry_FracGASM[NIR reference],Table_SourceData_Poultry_FracGASM[FracGASMmT])</f>
        <v>0</v>
      </c>
    </row>
    <row r="62" spans="1:14" ht="20.100000000000001" customHeight="1" x14ac:dyDescent="0.2">
      <c r="D62" s="15" t="str">
        <f>'Constants - Poultry'!$D$37</f>
        <v>Direct application</v>
      </c>
      <c r="E62" s="15" cm="1">
        <f t="array" ref="E62">Common_InputFunctions.Utility_LookupValueInTableNumber(D62, Table_SourceData_Poultry_FracGASM[NIR reference],Table_SourceData_Poultry_FracGASM[FracGASMmT])</f>
        <v>0</v>
      </c>
    </row>
    <row r="64" spans="1:14" ht="20.100000000000001" customHeight="1" x14ac:dyDescent="0.2">
      <c r="D64" s="118" t="s">
        <v>451</v>
      </c>
      <c r="N64" s="118" t="s">
        <v>452</v>
      </c>
    </row>
    <row r="65" spans="1:20" ht="20.100000000000001" customHeight="1" x14ac:dyDescent="0.2">
      <c r="D65" s="119" t="s">
        <v>444</v>
      </c>
      <c r="N65" s="119" t="s">
        <v>445</v>
      </c>
    </row>
    <row r="66" spans="1:20" ht="20.100000000000001" customHeight="1" x14ac:dyDescent="0.2">
      <c r="D66" s="120" t="s">
        <v>314</v>
      </c>
      <c r="E66" s="120" t="s">
        <v>318</v>
      </c>
      <c r="F66" s="120" t="s">
        <v>297</v>
      </c>
      <c r="G66" s="120" t="s">
        <v>298</v>
      </c>
      <c r="H66" s="120" t="s">
        <v>299</v>
      </c>
      <c r="I66" s="120" t="s">
        <v>300</v>
      </c>
      <c r="N66" s="120" t="s">
        <v>314</v>
      </c>
      <c r="O66" s="120" t="s">
        <v>318</v>
      </c>
      <c r="P66" s="120" t="s">
        <v>297</v>
      </c>
      <c r="Q66" s="120" t="s">
        <v>298</v>
      </c>
      <c r="R66" s="120" t="s">
        <v>299</v>
      </c>
      <c r="S66" s="120" t="s">
        <v>300</v>
      </c>
    </row>
    <row r="67" spans="1:20" ht="20.100000000000001" customHeight="1" x14ac:dyDescent="0.2">
      <c r="D67" s="15" t="str">
        <f>INDEX(X_Table_Poultry_Stage1MMS,2,1)</f>
        <v>Poultry manure with bedding</v>
      </c>
      <c r="E67" s="15" t="str">
        <f>INDEX(X_Table_Poultry_Stage2MMS_PoultryManureWithBedding,2,1)</f>
        <v>Solid storage</v>
      </c>
      <c r="F67" s="15">
        <f>INDEX(M1_Table_MN_Leach_j_k_m4,2,3)</f>
        <v>1.4254231680000003E-2</v>
      </c>
      <c r="G67" s="15">
        <f>INDEX(M1_Table_MN_Leach_j_k_m4,2,4)</f>
        <v>1.5214758336E-2</v>
      </c>
      <c r="H67" s="15">
        <f>INDEX(M1_Table_MN_Leach_j_k_m4,2,5)</f>
        <v>1.7859863808E-2</v>
      </c>
      <c r="I67" s="15">
        <f>INDEX(M1_Table_MN_Leach_j_k_m4,2,6)</f>
        <v>1.5214758336E-2</v>
      </c>
      <c r="J67" s="16" t="str">
        <f>$G$16</f>
        <v>kg N</v>
      </c>
      <c r="N67" s="15" t="str">
        <f>INDEX(X_Table_Poultry_Stage1MMS,2,1)</f>
        <v>Poultry manure with bedding</v>
      </c>
      <c r="O67" s="15" t="str">
        <f>INDEX(X_Table_Poultry_Stage2MMS_PoultryManureWithBedding,2,1)</f>
        <v>Solid storage</v>
      </c>
      <c r="P67" s="15">
        <f>INDEX(M2_Table_MN_j_k_m4,2,3)</f>
        <v>1.4254231680000003E-2</v>
      </c>
      <c r="Q67" s="15">
        <f>INDEX(M2_Table_MN_j_k_m4,2,4)</f>
        <v>1.5214758336E-2</v>
      </c>
      <c r="R67" s="15">
        <f>INDEX(M2_Table_MN_j_k_m4,2,5)</f>
        <v>1.7859863808E-2</v>
      </c>
      <c r="S67" s="15">
        <f>INDEX(M2_Table_MN_j_k_m4,2,6)</f>
        <v>1.5214758336E-2</v>
      </c>
      <c r="T67" s="16" t="str">
        <f>$G$16</f>
        <v>kg N</v>
      </c>
    </row>
    <row r="68" spans="1:20" ht="20.100000000000001" customHeight="1" x14ac:dyDescent="0.2">
      <c r="A68" s="79" t="str">
        <f>HYPERLINK("#A1", "▲ Back to top")</f>
        <v>▲ Back to top</v>
      </c>
      <c r="D68" s="15"/>
      <c r="E68" s="15" t="str">
        <f>INDEX(X_Table_Poultry_Stage2MMS_PoultryManureWithBedding,3,1)</f>
        <v>Composting (passive windrow)</v>
      </c>
      <c r="F68" s="15">
        <v>0</v>
      </c>
      <c r="G68" s="15">
        <v>0</v>
      </c>
      <c r="H68" s="15">
        <v>0</v>
      </c>
      <c r="I68" s="15">
        <v>0</v>
      </c>
      <c r="J68" s="16"/>
      <c r="N68" s="15"/>
      <c r="O68" s="15" t="str">
        <f>INDEX(X_Table_Poultry_Stage2MMS_PoultryManureWithBedding,3,1)</f>
        <v>Composting (passive windrow)</v>
      </c>
      <c r="P68" s="15">
        <v>0</v>
      </c>
      <c r="Q68" s="15">
        <v>0</v>
      </c>
      <c r="R68" s="15">
        <v>0</v>
      </c>
      <c r="S68" s="15">
        <v>0</v>
      </c>
      <c r="T68" s="16"/>
    </row>
    <row r="69" spans="1:20" ht="20.100000000000001" customHeight="1" x14ac:dyDescent="0.2">
      <c r="D69" s="15"/>
      <c r="E69" s="15" t="str">
        <f>INDEX(X_Table_Poultry_Stage2MMS_PoultryManureWithBedding,4,1)</f>
        <v>Digester / covered lagoons</v>
      </c>
      <c r="F69" s="15">
        <v>0</v>
      </c>
      <c r="G69" s="15">
        <v>0</v>
      </c>
      <c r="H69" s="15">
        <v>0</v>
      </c>
      <c r="I69" s="15">
        <v>0</v>
      </c>
      <c r="J69" s="16"/>
      <c r="N69" s="15"/>
      <c r="O69" s="15" t="str">
        <f>INDEX(X_Table_Poultry_Stage2MMS_PoultryManureWithBedding,4,1)</f>
        <v>Digester / covered lagoons</v>
      </c>
      <c r="P69" s="15">
        <v>0</v>
      </c>
      <c r="Q69" s="15">
        <v>0</v>
      </c>
      <c r="R69" s="15">
        <v>0</v>
      </c>
      <c r="S69" s="15">
        <v>0</v>
      </c>
      <c r="T69" s="16"/>
    </row>
    <row r="70" spans="1:20" ht="20.100000000000001" customHeight="1" x14ac:dyDescent="0.2">
      <c r="D70" s="15"/>
      <c r="E70" s="15" t="str">
        <f>INDEX(X_Table_Poultry_Stage2MMS_PoultryManureWithBedding,5,1)</f>
        <v>Direct processing</v>
      </c>
      <c r="F70" s="15">
        <v>0</v>
      </c>
      <c r="G70" s="15">
        <v>0</v>
      </c>
      <c r="H70" s="15">
        <v>0</v>
      </c>
      <c r="I70" s="15">
        <v>0</v>
      </c>
      <c r="J70" s="16"/>
      <c r="N70" s="15"/>
      <c r="O70" s="15" t="str">
        <f>INDEX(X_Table_Poultry_Stage2MMS_PoultryManureWithBedding,5,1)</f>
        <v>Direct processing</v>
      </c>
      <c r="P70" s="15">
        <v>0</v>
      </c>
      <c r="Q70" s="15">
        <v>0</v>
      </c>
      <c r="R70" s="15">
        <v>0</v>
      </c>
      <c r="S70" s="15">
        <v>0</v>
      </c>
      <c r="T70" s="16"/>
    </row>
    <row r="71" spans="1:20" ht="20.100000000000001" customHeight="1" x14ac:dyDescent="0.2">
      <c r="D71" s="15"/>
      <c r="E71" s="15" t="str">
        <f>INDEX(X_Table_Poultry_Stage2MMS_PoultryManureWithBedding,6,1)</f>
        <v>Direct application</v>
      </c>
      <c r="F71" s="15">
        <v>0</v>
      </c>
      <c r="G71" s="15">
        <v>0</v>
      </c>
      <c r="H71" s="15">
        <v>0</v>
      </c>
      <c r="I71" s="15">
        <v>0</v>
      </c>
      <c r="N71" s="15"/>
      <c r="O71" s="15" t="str">
        <f>INDEX(X_Table_Poultry_Stage2MMS_PoultryManureWithBedding,6,1)</f>
        <v>Direct application</v>
      </c>
      <c r="P71" s="15">
        <v>0</v>
      </c>
      <c r="Q71" s="15">
        <v>0</v>
      </c>
      <c r="R71" s="15">
        <v>0</v>
      </c>
      <c r="S71" s="15">
        <v>0</v>
      </c>
    </row>
    <row r="72" spans="1:20" ht="20.100000000000001" customHeight="1" x14ac:dyDescent="0.2">
      <c r="D72" s="15" t="str">
        <f>INDEX(X_Table_Poultry_Stage1MMS,3,1)</f>
        <v>Belt manure removal</v>
      </c>
      <c r="E72" s="15" t="str">
        <f>INDEX(X_Table_Poultry_Stage2MMS_BeltManureRemoval,2,1)</f>
        <v>Solid storage</v>
      </c>
      <c r="F72" s="15">
        <f>INDEX(M1_Table_MN_Leach_j_k_m4,3,3)</f>
        <v>1.9352311680000005E-2</v>
      </c>
      <c r="G72" s="15">
        <f>INDEX(M1_Table_MN_Leach_j_k_m4,3,4)</f>
        <v>2.0656374336E-2</v>
      </c>
      <c r="H72" s="15">
        <f>INDEX(M1_Table_MN_Leach_j_k_m4,3,5)</f>
        <v>2.4247511808E-2</v>
      </c>
      <c r="I72" s="15">
        <f>INDEX(M1_Table_MN_Leach_j_k_m4,3,6)</f>
        <v>2.0656374336E-2</v>
      </c>
      <c r="J72" s="16"/>
      <c r="N72" s="15" t="str">
        <f>INDEX(X_Table_Poultry_Stage1MMS,3,1)</f>
        <v>Belt manure removal</v>
      </c>
      <c r="O72" s="15" t="str">
        <f>INDEX(X_Table_Poultry_Stage2MMS_BeltManureRemoval,2,1)</f>
        <v>Solid storage</v>
      </c>
      <c r="P72" s="15">
        <f>INDEX(M2_Table_MN_j_k_m4,3,3)</f>
        <v>1.9352311680000005E-2</v>
      </c>
      <c r="Q72" s="15">
        <f>INDEX(M2_Table_MN_j_k_m4,3,4)</f>
        <v>2.0656374336E-2</v>
      </c>
      <c r="R72" s="15">
        <f>INDEX(M2_Table_MN_j_k_m4,3,5)</f>
        <v>2.4247511808E-2</v>
      </c>
      <c r="S72" s="15">
        <f>INDEX(M2_Table_MN_j_k_m4,3,6)</f>
        <v>2.0656374336E-2</v>
      </c>
      <c r="T72" s="16"/>
    </row>
    <row r="73" spans="1:20" ht="20.100000000000001" customHeight="1" x14ac:dyDescent="0.2">
      <c r="D73" s="15"/>
      <c r="E73" s="15" t="str">
        <f>INDEX(X_Table_Poultry_Stage2MMS_BeltManureRemoval,3,1)</f>
        <v>Composting (passive windrow)</v>
      </c>
      <c r="F73" s="15">
        <v>0</v>
      </c>
      <c r="G73" s="15">
        <v>0</v>
      </c>
      <c r="H73" s="15">
        <v>0</v>
      </c>
      <c r="I73" s="15">
        <v>0</v>
      </c>
      <c r="J73" s="16"/>
      <c r="N73" s="15"/>
      <c r="O73" s="15" t="str">
        <f>INDEX(X_Table_Poultry_Stage2MMS_BeltManureRemoval,3,1)</f>
        <v>Composting (passive windrow)</v>
      </c>
      <c r="P73" s="15">
        <v>0</v>
      </c>
      <c r="Q73" s="15">
        <v>0</v>
      </c>
      <c r="R73" s="15">
        <v>0</v>
      </c>
      <c r="S73" s="15">
        <v>0</v>
      </c>
      <c r="T73" s="16"/>
    </row>
    <row r="74" spans="1:20" ht="20.100000000000001" customHeight="1" x14ac:dyDescent="0.2">
      <c r="D74" s="15"/>
      <c r="E74" s="15" t="str">
        <f>INDEX(X_Table_Poultry_Stage2MMS_BeltManureRemoval,4,1)</f>
        <v>Digester / covered lagoons</v>
      </c>
      <c r="F74" s="15">
        <v>0</v>
      </c>
      <c r="G74" s="15">
        <v>0</v>
      </c>
      <c r="H74" s="15">
        <v>0</v>
      </c>
      <c r="I74" s="15">
        <v>0</v>
      </c>
      <c r="J74" s="16"/>
      <c r="N74" s="15"/>
      <c r="O74" s="15" t="str">
        <f>INDEX(X_Table_Poultry_Stage2MMS_BeltManureRemoval,4,1)</f>
        <v>Digester / covered lagoons</v>
      </c>
      <c r="P74" s="15">
        <v>0</v>
      </c>
      <c r="Q74" s="15">
        <v>0</v>
      </c>
      <c r="R74" s="15">
        <v>0</v>
      </c>
      <c r="S74" s="15">
        <v>0</v>
      </c>
      <c r="T74" s="16"/>
    </row>
    <row r="75" spans="1:20" ht="20.100000000000001" customHeight="1" x14ac:dyDescent="0.2">
      <c r="D75" s="15"/>
      <c r="E75" s="15" t="str">
        <f>INDEX(X_Table_Poultry_Stage2MMS_BeltManureRemoval,5,1)</f>
        <v>Direct processing</v>
      </c>
      <c r="F75" s="15">
        <v>0</v>
      </c>
      <c r="G75" s="15">
        <v>0</v>
      </c>
      <c r="H75" s="15">
        <v>0</v>
      </c>
      <c r="I75" s="15">
        <v>0</v>
      </c>
      <c r="J75" s="16"/>
      <c r="N75" s="15"/>
      <c r="O75" s="15" t="str">
        <f>INDEX(X_Table_Poultry_Stage2MMS_BeltManureRemoval,5,1)</f>
        <v>Direct processing</v>
      </c>
      <c r="P75" s="15">
        <v>0</v>
      </c>
      <c r="Q75" s="15">
        <v>0</v>
      </c>
      <c r="R75" s="15">
        <v>0</v>
      </c>
      <c r="S75" s="15">
        <v>0</v>
      </c>
      <c r="T75" s="16"/>
    </row>
    <row r="76" spans="1:20" ht="20.100000000000001" customHeight="1" x14ac:dyDescent="0.2">
      <c r="D76" s="15"/>
      <c r="E76" s="15" t="str">
        <f>INDEX(X_Table_Poultry_Stage2MMS_BeltManureRemoval,6,1)</f>
        <v>Direct application</v>
      </c>
      <c r="F76" s="15">
        <v>0</v>
      </c>
      <c r="G76" s="15">
        <v>0</v>
      </c>
      <c r="H76" s="15">
        <v>0</v>
      </c>
      <c r="I76" s="15">
        <v>0</v>
      </c>
      <c r="N76" s="15"/>
      <c r="O76" s="15" t="str">
        <f>INDEX(X_Table_Poultry_Stage2MMS_BeltManureRemoval,6,1)</f>
        <v>Direct application</v>
      </c>
      <c r="P76" s="15">
        <v>0</v>
      </c>
      <c r="Q76" s="15">
        <v>0</v>
      </c>
      <c r="R76" s="15">
        <v>0</v>
      </c>
      <c r="S76" s="15">
        <v>0</v>
      </c>
    </row>
    <row r="77" spans="1:20" ht="20.100000000000001" customHeight="1" x14ac:dyDescent="0.2">
      <c r="D77" s="15" t="str">
        <f>INDEX(X_Table_Poultry_Stage1MMS,4,1)</f>
        <v>Manure stored in house</v>
      </c>
      <c r="E77" s="15" t="str">
        <f>INDEX(X_Table_Poultry_Stage2MMS_ManureStoredInHouse,2,1)</f>
        <v>Solid storage</v>
      </c>
      <c r="F77" s="15">
        <f>INDEX(M1_Table_MN_Leach_j_k_m4,4,3)</f>
        <v>1.2214999680000003E-2</v>
      </c>
      <c r="G77" s="15">
        <f>INDEX(M1_Table_MN_Leach_j_k_m4,4,4)</f>
        <v>1.3038111936E-2</v>
      </c>
      <c r="H77" s="15">
        <f>INDEX(M1_Table_MN_Leach_j_k_m4,4,5)</f>
        <v>1.5304804607999998E-2</v>
      </c>
      <c r="I77" s="15">
        <f>INDEX(M1_Table_MN_Leach_j_k_m4,4,6)</f>
        <v>1.3038111936E-2</v>
      </c>
      <c r="J77" s="16"/>
      <c r="N77" s="15" t="str">
        <f>INDEX(X_Table_Poultry_Stage1MMS,4,1)</f>
        <v>Manure stored in house</v>
      </c>
      <c r="O77" s="15" t="str">
        <f>INDEX(X_Table_Poultry_Stage2MMS_ManureStoredInHouse,2,1)</f>
        <v>Solid storage</v>
      </c>
      <c r="P77" s="15">
        <f>INDEX(M2_Table_MN_j_k_m4,4,3)</f>
        <v>1.2214999680000003E-2</v>
      </c>
      <c r="Q77" s="15">
        <f>INDEX(M2_Table_MN_j_k_m4,4,4)</f>
        <v>1.3038111936E-2</v>
      </c>
      <c r="R77" s="15">
        <f>INDEX(M2_Table_MN_j_k_m4,4,5)</f>
        <v>1.5304804607999998E-2</v>
      </c>
      <c r="S77" s="15">
        <f>INDEX(M2_Table_MN_j_k_m4,4,6)</f>
        <v>1.3038111936E-2</v>
      </c>
      <c r="T77" s="16"/>
    </row>
    <row r="78" spans="1:20" ht="20.100000000000001" customHeight="1" x14ac:dyDescent="0.2">
      <c r="D78" s="15"/>
      <c r="E78" s="15" t="str">
        <f>INDEX(X_Table_Poultry_Stage2MMS_ManureStoredInHouse,3,1)</f>
        <v>Composting (passive windrow)</v>
      </c>
      <c r="F78" s="15">
        <v>0</v>
      </c>
      <c r="G78" s="15">
        <v>0</v>
      </c>
      <c r="H78" s="15">
        <v>0</v>
      </c>
      <c r="I78" s="15">
        <v>0</v>
      </c>
      <c r="J78" s="16"/>
      <c r="N78" s="15"/>
      <c r="O78" s="15" t="str">
        <f>INDEX(X_Table_Poultry_Stage2MMS_ManureStoredInHouse,3,1)</f>
        <v>Composting (passive windrow)</v>
      </c>
      <c r="P78" s="15">
        <v>0</v>
      </c>
      <c r="Q78" s="15">
        <v>0</v>
      </c>
      <c r="R78" s="15">
        <v>0</v>
      </c>
      <c r="S78" s="15">
        <v>0</v>
      </c>
      <c r="T78" s="16"/>
    </row>
    <row r="79" spans="1:20" ht="20.100000000000001" customHeight="1" x14ac:dyDescent="0.2">
      <c r="D79" s="15"/>
      <c r="E79" s="15" t="str">
        <f>INDEX(X_Table_Poultry_Stage2MMS_ManureStoredInHouse,4,1)</f>
        <v>Digester / covered lagoons</v>
      </c>
      <c r="F79" s="15">
        <v>0</v>
      </c>
      <c r="G79" s="15">
        <v>0</v>
      </c>
      <c r="H79" s="15">
        <v>0</v>
      </c>
      <c r="I79" s="15">
        <v>0</v>
      </c>
      <c r="J79" s="16"/>
      <c r="N79" s="15"/>
      <c r="O79" s="15" t="str">
        <f>INDEX(X_Table_Poultry_Stage2MMS_ManureStoredInHouse,4,1)</f>
        <v>Digester / covered lagoons</v>
      </c>
      <c r="P79" s="15">
        <v>0</v>
      </c>
      <c r="Q79" s="15">
        <v>0</v>
      </c>
      <c r="R79" s="15">
        <v>0</v>
      </c>
      <c r="S79" s="15">
        <v>0</v>
      </c>
      <c r="T79" s="16"/>
    </row>
    <row r="80" spans="1:20" ht="20.100000000000001" customHeight="1" x14ac:dyDescent="0.2">
      <c r="D80" s="15"/>
      <c r="E80" s="15" t="str">
        <f>INDEX(X_Table_Poultry_Stage2MMS_ManureStoredInHouse,5,1)</f>
        <v>Direct processing</v>
      </c>
      <c r="F80" s="15">
        <v>0</v>
      </c>
      <c r="G80" s="15">
        <v>0</v>
      </c>
      <c r="H80" s="15">
        <v>0</v>
      </c>
      <c r="I80" s="15">
        <v>0</v>
      </c>
      <c r="J80" s="16"/>
      <c r="N80" s="15"/>
      <c r="O80" s="15" t="str">
        <f>INDEX(X_Table_Poultry_Stage2MMS_ManureStoredInHouse,5,1)</f>
        <v>Direct processing</v>
      </c>
      <c r="P80" s="15">
        <v>0</v>
      </c>
      <c r="Q80" s="15">
        <v>0</v>
      </c>
      <c r="R80" s="15">
        <v>0</v>
      </c>
      <c r="S80" s="15">
        <v>0</v>
      </c>
      <c r="T80" s="16"/>
    </row>
    <row r="81" spans="4:19" ht="20.100000000000001" customHeight="1" x14ac:dyDescent="0.2">
      <c r="D81" s="15"/>
      <c r="E81" s="15" t="str">
        <f>INDEX(X_Table_Poultry_Stage2MMS_ManureStoredInHouse,6,1)</f>
        <v>Direct application</v>
      </c>
      <c r="F81" s="15">
        <v>0</v>
      </c>
      <c r="G81" s="15">
        <v>0</v>
      </c>
      <c r="H81" s="15">
        <v>0</v>
      </c>
      <c r="I81" s="15">
        <v>0</v>
      </c>
      <c r="N81" s="15"/>
      <c r="O81" s="15" t="str">
        <f>INDEX(X_Table_Poultry_Stage2MMS_ManureStoredInHouse,6,1)</f>
        <v>Direct application</v>
      </c>
      <c r="P81" s="15">
        <v>0</v>
      </c>
      <c r="Q81" s="15">
        <v>0</v>
      </c>
      <c r="R81" s="15">
        <v>0</v>
      </c>
      <c r="S81" s="15">
        <v>0</v>
      </c>
    </row>
    <row r="83" spans="4:19" ht="20.100000000000001" customHeight="1" x14ac:dyDescent="0.2">
      <c r="D83" s="118" t="s">
        <v>453</v>
      </c>
    </row>
    <row r="84" spans="4:19" ht="20.100000000000001" customHeight="1" x14ac:dyDescent="0.2">
      <c r="D84" s="119" t="s">
        <v>454</v>
      </c>
    </row>
    <row r="85" spans="4:19" ht="20.100000000000001" customHeight="1" x14ac:dyDescent="0.2">
      <c r="D85" s="78" t="s">
        <v>314</v>
      </c>
      <c r="E85" s="78" t="s">
        <v>318</v>
      </c>
      <c r="F85" s="78" t="s">
        <v>455</v>
      </c>
    </row>
    <row r="86" spans="4:19" ht="20.100000000000001" customHeight="1" x14ac:dyDescent="0.2">
      <c r="D86" s="15" t="str">
        <f>INDEX(X_Table_Poultry_Stage1MMS,2,1)</f>
        <v>Poultry manure with bedding</v>
      </c>
      <c r="E86" s="15" t="str">
        <f>INDEX(X_Table_Poultry_Stage2MMS_PoultryManureWithBedding,2,1)</f>
        <v>Solid storage</v>
      </c>
      <c r="F86" s="15">
        <f>INDEX(X_Table_Poultry_Stage2MMS_PoultryManureWithBedding_Destinations, 2,3)+INDEX(X_Table_Poultry_Stage2MMS_PoultryManureWithBedding_Destinations, 2,4)</f>
        <v>0.75</v>
      </c>
      <c r="G86" s="16" t="str">
        <f>$G$17</f>
        <v>fraction</v>
      </c>
    </row>
    <row r="87" spans="4:19" ht="20.100000000000001" customHeight="1" x14ac:dyDescent="0.2">
      <c r="D87" s="15"/>
      <c r="E87" s="15" t="str">
        <f>INDEX(X_Table_Poultry_Stage2MMS_PoultryManureWithBedding,3,1)</f>
        <v>Composting (passive windrow)</v>
      </c>
      <c r="F87" s="15">
        <f>INDEX(X_Table_Poultry_Stage2MMS_PoultryManureWithBedding_Destinations, 3,3)+INDEX(X_Table_Poultry_Stage2MMS_PoultryManureWithBedding_Destinations, 3,4)</f>
        <v>0.75</v>
      </c>
      <c r="G87" s="16"/>
    </row>
    <row r="88" spans="4:19" ht="20.100000000000001" customHeight="1" x14ac:dyDescent="0.2">
      <c r="D88" s="15"/>
      <c r="E88" s="15" t="str">
        <f>INDEX(X_Table_Poultry_Stage2MMS_PoultryManureWithBedding,4,1)</f>
        <v>Digester / covered lagoons</v>
      </c>
      <c r="F88" s="15">
        <f>INDEX(X_Table_Poultry_Stage2MMS_PoultryManureWithBedding_Destinations, 4,3)+INDEX(X_Table_Poultry_Stage2MMS_PoultryManureWithBedding_Destinations, 4,4)</f>
        <v>0.75</v>
      </c>
      <c r="G88" s="16"/>
    </row>
    <row r="89" spans="4:19" ht="20.100000000000001" customHeight="1" x14ac:dyDescent="0.2">
      <c r="D89" s="15"/>
      <c r="E89" s="15" t="str">
        <f>INDEX(X_Table_Poultry_Stage2MMS_PoultryManureWithBedding,5,1)</f>
        <v>Direct processing</v>
      </c>
      <c r="F89" s="15">
        <f>INDEX(X_Table_Poultry_Stage2MMS_PoultryManureWithBedding_Destinations, 5,3)+INDEX(X_Table_Poultry_Stage2MMS_PoultryManureWithBedding_Destinations, 5,4)</f>
        <v>0.75</v>
      </c>
      <c r="G89" s="16"/>
    </row>
    <row r="90" spans="4:19" ht="20.100000000000001" customHeight="1" x14ac:dyDescent="0.2">
      <c r="D90" s="15"/>
      <c r="E90" s="15" t="str">
        <f>INDEX(X_Table_Poultry_Stage2MMS_PoultryManureWithBedding,6,1)</f>
        <v>Direct application</v>
      </c>
      <c r="F90" s="15">
        <f>INDEX(X_Table_Poultry_Stage2MMS_PoultryManureWithBedding_Destinations, 6,3)+INDEX(X_Table_Poultry_Stage2MMS_PoultryManureWithBedding_Destinations, 6,4)</f>
        <v>1</v>
      </c>
    </row>
    <row r="91" spans="4:19" ht="20.100000000000001" customHeight="1" x14ac:dyDescent="0.2">
      <c r="D91" s="15" t="str">
        <f>INDEX(X_Table_Poultry_Stage1MMS,3,1)</f>
        <v>Belt manure removal</v>
      </c>
      <c r="E91" s="15" t="str">
        <f>INDEX(X_Table_Poultry_Stage2MMS_BeltManureRemoval,2,1)</f>
        <v>Solid storage</v>
      </c>
      <c r="F91" s="15">
        <f>INDEX(X_Table_Poultry_Stage2MMS_BeltManureRemoval_Destinations, 2,3)+INDEX(X_Table_Poultry_Stage2MMS_BeltManureRemoval_Destinations, 2,4)</f>
        <v>0.75</v>
      </c>
      <c r="G91" s="16"/>
    </row>
    <row r="92" spans="4:19" ht="20.100000000000001" customHeight="1" x14ac:dyDescent="0.2">
      <c r="D92" s="15"/>
      <c r="E92" s="15" t="str">
        <f>INDEX(X_Table_Poultry_Stage2MMS_BeltManureRemoval,3,1)</f>
        <v>Composting (passive windrow)</v>
      </c>
      <c r="F92" s="15">
        <f>INDEX(X_Table_Poultry_Stage2MMS_BeltManureRemoval_Destinations, 3,3)+INDEX(X_Table_Poultry_Stage2MMS_BeltManureRemoval_Destinations, 3,4)</f>
        <v>0.75</v>
      </c>
      <c r="G92" s="16"/>
    </row>
    <row r="93" spans="4:19" ht="20.100000000000001" customHeight="1" x14ac:dyDescent="0.2">
      <c r="D93" s="15"/>
      <c r="E93" s="15" t="str">
        <f>INDEX(X_Table_Poultry_Stage2MMS_BeltManureRemoval,4,1)</f>
        <v>Digester / covered lagoons</v>
      </c>
      <c r="F93" s="15">
        <f>INDEX(X_Table_Poultry_Stage2MMS_BeltManureRemoval_Destinations, 4,3)+INDEX(X_Table_Poultry_Stage2MMS_BeltManureRemoval_Destinations, 4,4)</f>
        <v>0.75</v>
      </c>
      <c r="G93" s="16"/>
    </row>
    <row r="94" spans="4:19" ht="20.100000000000001" customHeight="1" x14ac:dyDescent="0.2">
      <c r="D94" s="15"/>
      <c r="E94" s="15" t="str">
        <f>INDEX(X_Table_Poultry_Stage2MMS_BeltManureRemoval,5,1)</f>
        <v>Direct processing</v>
      </c>
      <c r="F94" s="15">
        <f>INDEX(X_Table_Poultry_Stage2MMS_BeltManureRemoval_Destinations, 5,3)+INDEX(X_Table_Poultry_Stage2MMS_BeltManureRemoval_Destinations, 5,4)</f>
        <v>0.75</v>
      </c>
      <c r="G94" s="16"/>
    </row>
    <row r="95" spans="4:19" ht="20.100000000000001" customHeight="1" x14ac:dyDescent="0.2">
      <c r="D95" s="15"/>
      <c r="E95" s="15" t="str">
        <f>INDEX(X_Table_Poultry_Stage2MMS_BeltManureRemoval,6,1)</f>
        <v>Direct application</v>
      </c>
      <c r="F95" s="15">
        <f>INDEX(X_Table_Poultry_Stage2MMS_BeltManureRemoval_Destinations, 6,3)+INDEX(X_Table_Poultry_Stage2MMS_BeltManureRemoval_Destinations, 6,4)</f>
        <v>1</v>
      </c>
    </row>
    <row r="96" spans="4:19" ht="20.100000000000001" customHeight="1" x14ac:dyDescent="0.2">
      <c r="D96" s="15" t="str">
        <f>INDEX(X_Table_Poultry_Stage1MMS,4,1)</f>
        <v>Manure stored in house</v>
      </c>
      <c r="E96" s="15" t="str">
        <f>INDEX(X_Table_Poultry_Stage2MMS_ManureStoredInHouse,2,1)</f>
        <v>Solid storage</v>
      </c>
      <c r="F96" s="15">
        <f>INDEX(X_Table_Poultry_Stage2MMS_ManureStoredInHouse_Destinations, 2,3)+INDEX(X_Table_Poultry_Stage2MMS_ManureStoredInHouse_Destinations, 2,4)</f>
        <v>0.75</v>
      </c>
      <c r="G96" s="16"/>
    </row>
    <row r="97" spans="1:20" ht="20.100000000000001" customHeight="1" x14ac:dyDescent="0.2">
      <c r="D97" s="15"/>
      <c r="E97" s="15" t="str">
        <f>INDEX(X_Table_Poultry_Stage2MMS_ManureStoredInHouse,3,1)</f>
        <v>Composting (passive windrow)</v>
      </c>
      <c r="F97" s="15">
        <f>INDEX(X_Table_Poultry_Stage2MMS_ManureStoredInHouse_Destinations, 3,3)+INDEX(X_Table_Poultry_Stage2MMS_ManureStoredInHouse_Destinations, 3,4)</f>
        <v>0.75</v>
      </c>
      <c r="G97" s="16"/>
    </row>
    <row r="98" spans="1:20" ht="20.100000000000001" customHeight="1" x14ac:dyDescent="0.2">
      <c r="A98" s="79" t="str">
        <f>HYPERLINK("#A1", "▲ Back to top")</f>
        <v>▲ Back to top</v>
      </c>
      <c r="D98" s="15"/>
      <c r="E98" s="15" t="str">
        <f>INDEX(X_Table_Poultry_Stage2MMS_ManureStoredInHouse,4,1)</f>
        <v>Digester / covered lagoons</v>
      </c>
      <c r="F98" s="15">
        <f>INDEX(X_Table_Poultry_Stage2MMS_ManureStoredInHouse_Destinations, 4,3)+INDEX(X_Table_Poultry_Stage2MMS_ManureStoredInHouse_Destinations, 4,4)</f>
        <v>0.75</v>
      </c>
      <c r="G98" s="16"/>
    </row>
    <row r="99" spans="1:20" ht="20.100000000000001" customHeight="1" x14ac:dyDescent="0.2">
      <c r="D99" s="15"/>
      <c r="E99" s="15" t="str">
        <f>INDEX(X_Table_Poultry_Stage2MMS_ManureStoredInHouse,5,1)</f>
        <v>Direct processing</v>
      </c>
      <c r="F99" s="15">
        <f>INDEX(X_Table_Poultry_Stage2MMS_ManureStoredInHouse_Destinations, 5,3)+INDEX(X_Table_Poultry_Stage2MMS_ManureStoredInHouse_Destinations, 5,4)</f>
        <v>0.75</v>
      </c>
      <c r="G99" s="16"/>
    </row>
    <row r="100" spans="1:20" ht="20.100000000000001" customHeight="1" x14ac:dyDescent="0.2">
      <c r="D100" s="15"/>
      <c r="E100" s="15" t="str">
        <f>INDEX(X_Table_Poultry_Stage2MMS_ManureStoredInHouse,6,1)</f>
        <v>Direct application</v>
      </c>
      <c r="F100" s="15">
        <f>INDEX(X_Table_Poultry_Stage2MMS_ManureStoredInHouse_Destinations, 6,3)+INDEX(X_Table_Poultry_Stage2MMS_ManureStoredInHouse_Destinations, 6,4)</f>
        <v>1</v>
      </c>
    </row>
    <row r="102" spans="1:20" ht="20.100000000000001" customHeight="1" x14ac:dyDescent="0.2">
      <c r="D102" s="118" t="s">
        <v>456</v>
      </c>
      <c r="N102" s="118" t="s">
        <v>457</v>
      </c>
    </row>
    <row r="103" spans="1:20" ht="20.100000000000001" customHeight="1" x14ac:dyDescent="0.2">
      <c r="D103" s="119" t="s">
        <v>458</v>
      </c>
      <c r="N103" s="119" t="s">
        <v>459</v>
      </c>
    </row>
    <row r="104" spans="1:20" ht="20.100000000000001" customHeight="1" x14ac:dyDescent="0.2">
      <c r="D104" s="120" t="s">
        <v>314</v>
      </c>
      <c r="E104" s="120" t="s">
        <v>318</v>
      </c>
      <c r="F104" s="120" t="s">
        <v>297</v>
      </c>
      <c r="G104" s="120" t="s">
        <v>298</v>
      </c>
      <c r="H104" s="120" t="s">
        <v>299</v>
      </c>
      <c r="I104" s="120" t="s">
        <v>300</v>
      </c>
      <c r="N104" s="120" t="s">
        <v>314</v>
      </c>
      <c r="O104" s="120" t="s">
        <v>318</v>
      </c>
      <c r="P104" s="120" t="s">
        <v>297</v>
      </c>
      <c r="Q104" s="120" t="s">
        <v>298</v>
      </c>
      <c r="R104" s="120" t="s">
        <v>299</v>
      </c>
      <c r="S104" s="120" t="s">
        <v>300</v>
      </c>
    </row>
    <row r="105" spans="1:20" ht="20.100000000000001" customHeight="1" x14ac:dyDescent="0.2">
      <c r="D105" s="15" t="str">
        <f>INDEX(X_Table_Poultry_Stage1MMS,2,1)</f>
        <v>Poultry manure with bedding</v>
      </c>
      <c r="E105" s="15" t="str">
        <f>INDEX(X_Table_Poultry_Stage2MMS_PoultryManureWithBedding,2,1)</f>
        <v>Solid storage</v>
      </c>
      <c r="F105" s="15" cm="1">
        <f t="array" ref="F105">MMS_Poultry_ManureAppliedToSoils_Equations.VEERG_4_6_1_9__1_MassOfNitrogenAppliedToSoilsScope1(F22,_xlfn.XLOOKUP($E105, $D$41:$D$49,$E$41:$E$49), _xlfn.XLOOKUP($E105, $D$54:$D$62,$E$54:$E$62), F67,$F86)</f>
        <v>0.41426360820000008</v>
      </c>
      <c r="G105" s="15" cm="1">
        <f t="array" ref="G105">MMS_Poultry_ManureAppliedToSoils_Equations.VEERG_4_6_1_9__1_MassOfNitrogenAppliedToSoilsScope1(G22,_xlfn.XLOOKUP($E105, $D$41:$D$49,$E$41:$E$49), _xlfn.XLOOKUP($E105, $D$54:$D$62,$E$54:$E$62), G67,$F86)</f>
        <v>0.44217891414000005</v>
      </c>
      <c r="H105" s="15" cm="1">
        <f t="array" ref="H105">MMS_Poultry_ManureAppliedToSoils_Equations.VEERG_4_6_1_9__1_MassOfNitrogenAppliedToSoilsScope1(H22,_xlfn.XLOOKUP($E105, $D$41:$D$49,$E$41:$E$49), _xlfn.XLOOKUP($E105, $D$54:$D$62,$E$54:$E$62), H67,$F86)</f>
        <v>0.51905229191999991</v>
      </c>
      <c r="I105" s="15" cm="1">
        <f t="array" ref="I105">MMS_Poultry_ManureAppliedToSoils_Equations.VEERG_4_6_1_9__1_MassOfNitrogenAppliedToSoilsScope1(I22,_xlfn.XLOOKUP($E105, $D$41:$D$49,$E$41:$E$49), _xlfn.XLOOKUP($E105, $D$54:$D$62,$E$54:$E$62), I67,$F86)</f>
        <v>0.44217891414000005</v>
      </c>
      <c r="J105" s="16" t="str">
        <f>$E$11</f>
        <v>kg N</v>
      </c>
      <c r="N105" s="15" t="str">
        <f>INDEX(X_Table_Poultry_Stage1MMS,2,1)</f>
        <v>Poultry manure with bedding</v>
      </c>
      <c r="O105" s="15" t="str">
        <f>INDEX(X_Table_Poultry_Stage2MMS_PoultryManureWithBedding,2,1)</f>
        <v>Solid storage</v>
      </c>
      <c r="P105" s="15" cm="1">
        <f t="array" ref="P105">MMS_Poultry_ManureAppliedToSoils_Equations.VEERG_4_6_1_9__1_MassOfNitrogenAppliedToSoilsScope1(P22,_xlfn.XLOOKUP($O105, $D$41:$D$49,$E$41:$E$49), _xlfn.XLOOKUP($O105, $D$54:$D$62,$E$54:$E$62), P67,$F86)</f>
        <v>0.41426360820000008</v>
      </c>
      <c r="Q105" s="15" cm="1">
        <f t="array" ref="Q105">MMS_Poultry_ManureAppliedToSoils_Equations.VEERG_4_6_1_9__1_MassOfNitrogenAppliedToSoilsScope1(Q22,_xlfn.XLOOKUP($O105, $D$41:$D$49,$E$41:$E$49), _xlfn.XLOOKUP($O105, $D$54:$D$62,$E$54:$E$62), Q67,$F86)</f>
        <v>0.44217891414000005</v>
      </c>
      <c r="R105" s="15" cm="1">
        <f t="array" ref="R105">MMS_Poultry_ManureAppliedToSoils_Equations.VEERG_4_6_1_9__1_MassOfNitrogenAppliedToSoilsScope1(R22,_xlfn.XLOOKUP($O105, $D$41:$D$49,$E$41:$E$49), _xlfn.XLOOKUP($O105, $D$54:$D$62,$E$54:$E$62), R67,$F86)</f>
        <v>0.51905229191999991</v>
      </c>
      <c r="S105" s="15" cm="1">
        <f t="array" ref="S105">MMS_Poultry_ManureAppliedToSoils_Equations.VEERG_4_6_1_9__1_MassOfNitrogenAppliedToSoilsScope1(S22,_xlfn.XLOOKUP($O105, $D$41:$D$49,$E$41:$E$49), _xlfn.XLOOKUP($O105, $D$54:$D$62,$E$54:$E$62), S67,$F86)</f>
        <v>0.44217891414000005</v>
      </c>
      <c r="T105" s="16" t="str">
        <f>$E$11</f>
        <v>kg N</v>
      </c>
    </row>
    <row r="106" spans="1:20" ht="20.100000000000001" customHeight="1" x14ac:dyDescent="0.2">
      <c r="D106" s="15"/>
      <c r="E106" s="15" t="str">
        <f>INDEX(X_Table_Poultry_Stage2MMS_PoultryManureWithBedding,3,1)</f>
        <v>Composting (passive windrow)</v>
      </c>
      <c r="F106" s="15" cm="1">
        <f t="array" ref="F106">MMS_Poultry_ManureAppliedToSoils_Equations.VEERG_4_6_1_9__1_MassOfNitrogenAppliedToSoilsScope1(F23,_xlfn.XLOOKUP($E106, $D$41:$D$49,$E$41:$E$49), _xlfn.XLOOKUP($E106, $D$54:$D$62,$E$54:$E$62), F68,$F87)</f>
        <v>0.4222816135200001</v>
      </c>
      <c r="G106" s="15" cm="1">
        <f t="array" ref="G106">MMS_Poultry_ManureAppliedToSoils_Equations.VEERG_4_6_1_9__1_MassOfNitrogenAppliedToSoilsScope1(G23,_xlfn.XLOOKUP($E106, $D$41:$D$49,$E$41:$E$49), _xlfn.XLOOKUP($E106, $D$54:$D$62,$E$54:$E$62), G68,$F87)</f>
        <v>0.45073721570399999</v>
      </c>
      <c r="H106" s="15" cm="1">
        <f t="array" ref="H106">MMS_Poultry_ManureAppliedToSoils_Equations.VEERG_4_6_1_9__1_MassOfNitrogenAppliedToSoilsScope1(H23,_xlfn.XLOOKUP($E106, $D$41:$D$49,$E$41:$E$49), _xlfn.XLOOKUP($E106, $D$54:$D$62,$E$54:$E$62), H68,$F87)</f>
        <v>0.529098465312</v>
      </c>
      <c r="I106" s="15" cm="1">
        <f t="array" ref="I106">MMS_Poultry_ManureAppliedToSoils_Equations.VEERG_4_6_1_9__1_MassOfNitrogenAppliedToSoilsScope1(I23,_xlfn.XLOOKUP($E106, $D$41:$D$49,$E$41:$E$49), _xlfn.XLOOKUP($E106, $D$54:$D$62,$E$54:$E$62), I68,$F87)</f>
        <v>0.45073721570399999</v>
      </c>
      <c r="J106" s="16"/>
      <c r="N106" s="15"/>
      <c r="O106" s="15" t="str">
        <f>INDEX(X_Table_Poultry_Stage2MMS_PoultryManureWithBedding,3,1)</f>
        <v>Composting (passive windrow)</v>
      </c>
      <c r="P106" s="15" cm="1">
        <f t="array" ref="P106">MMS_Poultry_ManureAppliedToSoils_Equations.VEERG_4_6_1_9__1_MassOfNitrogenAppliedToSoilsScope1(P23,_xlfn.XLOOKUP($O106, $D$41:$D$49,$E$41:$E$49), _xlfn.XLOOKUP($O106, $D$54:$D$62,$E$54:$E$62), P68,$F87)</f>
        <v>0.4222816135200001</v>
      </c>
      <c r="Q106" s="15" cm="1">
        <f t="array" ref="Q106">MMS_Poultry_ManureAppliedToSoils_Equations.VEERG_4_6_1_9__1_MassOfNitrogenAppliedToSoilsScope1(Q23,_xlfn.XLOOKUP($O106, $D$41:$D$49,$E$41:$E$49), _xlfn.XLOOKUP($O106, $D$54:$D$62,$E$54:$E$62), Q68,$F87)</f>
        <v>0.45073721570399999</v>
      </c>
      <c r="R106" s="15" cm="1">
        <f t="array" ref="R106">MMS_Poultry_ManureAppliedToSoils_Equations.VEERG_4_6_1_9__1_MassOfNitrogenAppliedToSoilsScope1(R23,_xlfn.XLOOKUP($O106, $D$41:$D$49,$E$41:$E$49), _xlfn.XLOOKUP($O106, $D$54:$D$62,$E$54:$E$62), R68,$F87)</f>
        <v>0.529098465312</v>
      </c>
      <c r="S106" s="15" cm="1">
        <f t="array" ref="S106">MMS_Poultry_ManureAppliedToSoils_Equations.VEERG_4_6_1_9__1_MassOfNitrogenAppliedToSoilsScope1(S23,_xlfn.XLOOKUP($O106, $D$41:$D$49,$E$41:$E$49), _xlfn.XLOOKUP($O106, $D$54:$D$62,$E$54:$E$62), S68,$F87)</f>
        <v>0.45073721570399999</v>
      </c>
      <c r="T106" s="16"/>
    </row>
    <row r="107" spans="1:20" ht="20.100000000000001" customHeight="1" x14ac:dyDescent="0.2">
      <c r="D107" s="15"/>
      <c r="E107" s="15" t="str">
        <f>INDEX(X_Table_Poultry_Stage2MMS_PoultryManureWithBedding,4,1)</f>
        <v>Digester / covered lagoons</v>
      </c>
      <c r="F107" s="15" cm="1">
        <f t="array" ref="F107">MMS_Poultry_ManureAppliedToSoils_Equations.VEERG_4_6_1_9__1_MassOfNitrogenAppliedToSoilsScope1(F24,_xlfn.XLOOKUP($E107, $D$41:$D$49,$E$41:$E$49), _xlfn.XLOOKUP($E107, $D$54:$D$62,$E$54:$E$62), F69,$F88)</f>
        <v>0.53453368800000012</v>
      </c>
      <c r="G107" s="15" cm="1">
        <f t="array" ref="G107">MMS_Poultry_ManureAppliedToSoils_Equations.VEERG_4_6_1_9__1_MassOfNitrogenAppliedToSoilsScope1(G24,_xlfn.XLOOKUP($E107, $D$41:$D$49,$E$41:$E$49), _xlfn.XLOOKUP($E107, $D$54:$D$62,$E$54:$E$62), G69,$F88)</f>
        <v>0.57055343759999999</v>
      </c>
      <c r="H107" s="15" cm="1">
        <f t="array" ref="H107">MMS_Poultry_ManureAppliedToSoils_Equations.VEERG_4_6_1_9__1_MassOfNitrogenAppliedToSoilsScope1(H24,_xlfn.XLOOKUP($E107, $D$41:$D$49,$E$41:$E$49), _xlfn.XLOOKUP($E107, $D$54:$D$62,$E$54:$E$62), H69,$F88)</f>
        <v>0.66974489279999994</v>
      </c>
      <c r="I107" s="15" cm="1">
        <f t="array" ref="I107">MMS_Poultry_ManureAppliedToSoils_Equations.VEERG_4_6_1_9__1_MassOfNitrogenAppliedToSoilsScope1(I24,_xlfn.XLOOKUP($E107, $D$41:$D$49,$E$41:$E$49), _xlfn.XLOOKUP($E107, $D$54:$D$62,$E$54:$E$62), I69,$F88)</f>
        <v>0.57055343759999999</v>
      </c>
      <c r="J107" s="16"/>
      <c r="N107" s="15"/>
      <c r="O107" s="15" t="str">
        <f>INDEX(X_Table_Poultry_Stage2MMS_PoultryManureWithBedding,4,1)</f>
        <v>Digester / covered lagoons</v>
      </c>
      <c r="P107" s="15" cm="1">
        <f t="array" ref="P107">MMS_Poultry_ManureAppliedToSoils_Equations.VEERG_4_6_1_9__1_MassOfNitrogenAppliedToSoilsScope1(P24,_xlfn.XLOOKUP($O107, $D$41:$D$49,$E$41:$E$49), _xlfn.XLOOKUP($O107, $D$54:$D$62,$E$54:$E$62), P69,$F88)</f>
        <v>0.53453368800000012</v>
      </c>
      <c r="Q107" s="15" cm="1">
        <f t="array" ref="Q107">MMS_Poultry_ManureAppliedToSoils_Equations.VEERG_4_6_1_9__1_MassOfNitrogenAppliedToSoilsScope1(Q24,_xlfn.XLOOKUP($O107, $D$41:$D$49,$E$41:$E$49), _xlfn.XLOOKUP($O107, $D$54:$D$62,$E$54:$E$62), Q69,$F88)</f>
        <v>0.57055343759999999</v>
      </c>
      <c r="R107" s="15" cm="1">
        <f t="array" ref="R107">MMS_Poultry_ManureAppliedToSoils_Equations.VEERG_4_6_1_9__1_MassOfNitrogenAppliedToSoilsScope1(R24,_xlfn.XLOOKUP($O107, $D$41:$D$49,$E$41:$E$49), _xlfn.XLOOKUP($O107, $D$54:$D$62,$E$54:$E$62), R69,$F88)</f>
        <v>0.66974489279999994</v>
      </c>
      <c r="S107" s="15" cm="1">
        <f t="array" ref="S107">MMS_Poultry_ManureAppliedToSoils_Equations.VEERG_4_6_1_9__1_MassOfNitrogenAppliedToSoilsScope1(S24,_xlfn.XLOOKUP($O107, $D$41:$D$49,$E$41:$E$49), _xlfn.XLOOKUP($O107, $D$54:$D$62,$E$54:$E$62), S69,$F88)</f>
        <v>0.57055343759999999</v>
      </c>
      <c r="T107" s="16"/>
    </row>
    <row r="108" spans="1:20" ht="20.100000000000001" customHeight="1" x14ac:dyDescent="0.2">
      <c r="D108" s="15"/>
      <c r="E108" s="15" t="str">
        <f>INDEX(X_Table_Poultry_Stage2MMS_PoultryManureWithBedding,5,1)</f>
        <v>Direct processing</v>
      </c>
      <c r="F108" s="15" cm="1">
        <f t="array" ref="F108">MMS_Poultry_ManureAppliedToSoils_Equations.VEERG_4_6_1_9__1_MassOfNitrogenAppliedToSoilsScope1(F25,_xlfn.XLOOKUP($E108, $D$41:$D$49,$E$41:$E$49), _xlfn.XLOOKUP($E108, $D$54:$D$62,$E$54:$E$62), F70,$F89)</f>
        <v>0.53453368800000012</v>
      </c>
      <c r="G108" s="15" cm="1">
        <f t="array" ref="G108">MMS_Poultry_ManureAppliedToSoils_Equations.VEERG_4_6_1_9__1_MassOfNitrogenAppliedToSoilsScope1(G25,_xlfn.XLOOKUP($E108, $D$41:$D$49,$E$41:$E$49), _xlfn.XLOOKUP($E108, $D$54:$D$62,$E$54:$E$62), G70,$F89)</f>
        <v>0.57055343759999999</v>
      </c>
      <c r="H108" s="15" cm="1">
        <f t="array" ref="H108">MMS_Poultry_ManureAppliedToSoils_Equations.VEERG_4_6_1_9__1_MassOfNitrogenAppliedToSoilsScope1(H25,_xlfn.XLOOKUP($E108, $D$41:$D$49,$E$41:$E$49), _xlfn.XLOOKUP($E108, $D$54:$D$62,$E$54:$E$62), H70,$F89)</f>
        <v>0.66974489279999994</v>
      </c>
      <c r="I108" s="15" cm="1">
        <f t="array" ref="I108">MMS_Poultry_ManureAppliedToSoils_Equations.VEERG_4_6_1_9__1_MassOfNitrogenAppliedToSoilsScope1(I25,_xlfn.XLOOKUP($E108, $D$41:$D$49,$E$41:$E$49), _xlfn.XLOOKUP($E108, $D$54:$D$62,$E$54:$E$62), I70,$F89)</f>
        <v>0.57055343759999999</v>
      </c>
      <c r="J108" s="16"/>
      <c r="N108" s="15"/>
      <c r="O108" s="15" t="str">
        <f>INDEX(X_Table_Poultry_Stage2MMS_PoultryManureWithBedding,5,1)</f>
        <v>Direct processing</v>
      </c>
      <c r="P108" s="15" cm="1">
        <f t="array" ref="P108">MMS_Poultry_ManureAppliedToSoils_Equations.VEERG_4_6_1_9__1_MassOfNitrogenAppliedToSoilsScope1(P25,_xlfn.XLOOKUP($O108, $D$41:$D$49,$E$41:$E$49), _xlfn.XLOOKUP($O108, $D$54:$D$62,$E$54:$E$62), P70,$F89)</f>
        <v>0.53453368800000012</v>
      </c>
      <c r="Q108" s="15" cm="1">
        <f t="array" ref="Q108">MMS_Poultry_ManureAppliedToSoils_Equations.VEERG_4_6_1_9__1_MassOfNitrogenAppliedToSoilsScope1(Q25,_xlfn.XLOOKUP($O108, $D$41:$D$49,$E$41:$E$49), _xlfn.XLOOKUP($O108, $D$54:$D$62,$E$54:$E$62), Q70,$F89)</f>
        <v>0.57055343759999999</v>
      </c>
      <c r="R108" s="15" cm="1">
        <f t="array" ref="R108">MMS_Poultry_ManureAppliedToSoils_Equations.VEERG_4_6_1_9__1_MassOfNitrogenAppliedToSoilsScope1(R25,_xlfn.XLOOKUP($O108, $D$41:$D$49,$E$41:$E$49), _xlfn.XLOOKUP($O108, $D$54:$D$62,$E$54:$E$62), R70,$F89)</f>
        <v>0.66974489279999994</v>
      </c>
      <c r="S108" s="15" cm="1">
        <f t="array" ref="S108">MMS_Poultry_ManureAppliedToSoils_Equations.VEERG_4_6_1_9__1_MassOfNitrogenAppliedToSoilsScope1(S25,_xlfn.XLOOKUP($O108, $D$41:$D$49,$E$41:$E$49), _xlfn.XLOOKUP($O108, $D$54:$D$62,$E$54:$E$62), S70,$F89)</f>
        <v>0.57055343759999999</v>
      </c>
      <c r="T108" s="16"/>
    </row>
    <row r="109" spans="1:20" ht="20.100000000000001" customHeight="1" x14ac:dyDescent="0.2">
      <c r="D109" s="15"/>
      <c r="E109" s="15" t="str">
        <f>INDEX(X_Table_Poultry_Stage2MMS_PoultryManureWithBedding,6,1)</f>
        <v>Direct application</v>
      </c>
      <c r="F109" s="15" cm="1">
        <f t="array" ref="F109">MMS_Poultry_ManureAppliedToSoils_Equations.VEERG_4_6_1_9__1_MassOfNitrogenAppliedToSoilsScope1(F26,_xlfn.XLOOKUP($E109, $D$41:$D$49,$E$41:$E$49), _xlfn.XLOOKUP($E109, $D$54:$D$62,$E$54:$E$62), F71,$F90)</f>
        <v>0.7127115839999999</v>
      </c>
      <c r="G109" s="15" cm="1">
        <f t="array" ref="G109">MMS_Poultry_ManureAppliedToSoils_Equations.VEERG_4_6_1_9__1_MassOfNitrogenAppliedToSoilsScope1(G26,_xlfn.XLOOKUP($E109, $D$41:$D$49,$E$41:$E$49), _xlfn.XLOOKUP($E109, $D$54:$D$62,$E$54:$E$62), G71,$F90)</f>
        <v>0.7607379167999998</v>
      </c>
      <c r="H109" s="15" cm="1">
        <f t="array" ref="H109">MMS_Poultry_ManureAppliedToSoils_Equations.VEERG_4_6_1_9__1_MassOfNitrogenAppliedToSoilsScope1(H26,_xlfn.XLOOKUP($E109, $D$41:$D$49,$E$41:$E$49), _xlfn.XLOOKUP($E109, $D$54:$D$62,$E$54:$E$62), H71,$F90)</f>
        <v>0.89299319039999958</v>
      </c>
      <c r="I109" s="15" cm="1">
        <f t="array" ref="I109">MMS_Poultry_ManureAppliedToSoils_Equations.VEERG_4_6_1_9__1_MassOfNitrogenAppliedToSoilsScope1(I26,_xlfn.XLOOKUP($E109, $D$41:$D$49,$E$41:$E$49), _xlfn.XLOOKUP($E109, $D$54:$D$62,$E$54:$E$62), I71,$F90)</f>
        <v>0.7607379167999998</v>
      </c>
      <c r="N109" s="15"/>
      <c r="O109" s="15" t="str">
        <f>INDEX(X_Table_Poultry_Stage2MMS_PoultryManureWithBedding,6,1)</f>
        <v>Direct application</v>
      </c>
      <c r="P109" s="15" cm="1">
        <f t="array" ref="P109">MMS_Poultry_ManureAppliedToSoils_Equations.VEERG_4_6_1_9__1_MassOfNitrogenAppliedToSoilsScope1(P26,_xlfn.XLOOKUP($O109, $D$41:$D$49,$E$41:$E$49), _xlfn.XLOOKUP($O109, $D$54:$D$62,$E$54:$E$62), P71,$F90)</f>
        <v>0.7127115839999999</v>
      </c>
      <c r="Q109" s="15" cm="1">
        <f t="array" ref="Q109">MMS_Poultry_ManureAppliedToSoils_Equations.VEERG_4_6_1_9__1_MassOfNitrogenAppliedToSoilsScope1(Q26,_xlfn.XLOOKUP($O109, $D$41:$D$49,$E$41:$E$49), _xlfn.XLOOKUP($O109, $D$54:$D$62,$E$54:$E$62), Q71,$F90)</f>
        <v>0.7607379167999998</v>
      </c>
      <c r="R109" s="15" cm="1">
        <f t="array" ref="R109">MMS_Poultry_ManureAppliedToSoils_Equations.VEERG_4_6_1_9__1_MassOfNitrogenAppliedToSoilsScope1(R26,_xlfn.XLOOKUP($O109, $D$41:$D$49,$E$41:$E$49), _xlfn.XLOOKUP($O109, $D$54:$D$62,$E$54:$E$62), R71,$F90)</f>
        <v>0.89299319039999958</v>
      </c>
      <c r="S109" s="15" cm="1">
        <f t="array" ref="S109">MMS_Poultry_ManureAppliedToSoils_Equations.VEERG_4_6_1_9__1_MassOfNitrogenAppliedToSoilsScope1(S26,_xlfn.XLOOKUP($O109, $D$41:$D$49,$E$41:$E$49), _xlfn.XLOOKUP($O109, $D$54:$D$62,$E$54:$E$62), S71,$F90)</f>
        <v>0.7607379167999998</v>
      </c>
    </row>
    <row r="110" spans="1:20" ht="20.100000000000001" customHeight="1" x14ac:dyDescent="0.2">
      <c r="D110" s="15" t="str">
        <f>INDEX(X_Table_Poultry_Stage1MMS,3,1)</f>
        <v>Belt manure removal</v>
      </c>
      <c r="E110" s="15" t="str">
        <f>INDEX(X_Table_Poultry_Stage2MMS_BeltManureRemoval,2,1)</f>
        <v>Solid storage</v>
      </c>
      <c r="F110" s="15" cm="1">
        <f t="array" ref="F110">MMS_Poultry_ManureAppliedToSoils_Equations.VEERG_4_6_1_9__1_MassOfNitrogenAppliedToSoilsScope1(F27,_xlfn.XLOOKUP($E110, $D$41:$D$49,$E$41:$E$49), _xlfn.XLOOKUP($E110, $D$54:$D$62,$E$54:$E$62), F72,$F91)</f>
        <v>0.56242655820000009</v>
      </c>
      <c r="G110" s="15" cm="1">
        <f t="array" ref="G110">MMS_Poultry_ManureAppliedToSoils_Equations.VEERG_4_6_1_9__1_MassOfNitrogenAppliedToSoilsScope1(G27,_xlfn.XLOOKUP($E110, $D$41:$D$49,$E$41:$E$49), _xlfn.XLOOKUP($E110, $D$54:$D$62,$E$54:$E$62), G72,$F91)</f>
        <v>0.60032587913999991</v>
      </c>
      <c r="H110" s="15" cm="1">
        <f t="array" ref="H110">MMS_Poultry_ManureAppliedToSoils_Equations.VEERG_4_6_1_9__1_MassOfNitrogenAppliedToSoilsScope1(H27,_xlfn.XLOOKUP($E110, $D$41:$D$49,$E$41:$E$49), _xlfn.XLOOKUP($E110, $D$54:$D$62,$E$54:$E$62), H72,$F91)</f>
        <v>0.70469331191999995</v>
      </c>
      <c r="I110" s="15" cm="1">
        <f t="array" ref="I110">MMS_Poultry_ManureAppliedToSoils_Equations.VEERG_4_6_1_9__1_MassOfNitrogenAppliedToSoilsScope1(I27,_xlfn.XLOOKUP($E110, $D$41:$D$49,$E$41:$E$49), _xlfn.XLOOKUP($E110, $D$54:$D$62,$E$54:$E$62), I72,$F91)</f>
        <v>0.60032587913999991</v>
      </c>
      <c r="J110" s="16"/>
      <c r="N110" s="15" t="str">
        <f>INDEX(X_Table_Poultry_Stage1MMS,3,1)</f>
        <v>Belt manure removal</v>
      </c>
      <c r="O110" s="15" t="str">
        <f>INDEX(X_Table_Poultry_Stage2MMS_BeltManureRemoval,2,1)</f>
        <v>Solid storage</v>
      </c>
      <c r="P110" s="15" cm="1">
        <f t="array" ref="P110">MMS_Poultry_ManureAppliedToSoils_Equations.VEERG_4_6_1_9__1_MassOfNitrogenAppliedToSoilsScope1(P27,_xlfn.XLOOKUP($O110, $D$41:$D$49,$E$41:$E$49), _xlfn.XLOOKUP($O110, $D$54:$D$62,$E$54:$E$62), P72,$F91)</f>
        <v>0.56242655820000009</v>
      </c>
      <c r="Q110" s="15" cm="1">
        <f t="array" ref="Q110">MMS_Poultry_ManureAppliedToSoils_Equations.VEERG_4_6_1_9__1_MassOfNitrogenAppliedToSoilsScope1(Q27,_xlfn.XLOOKUP($O110, $D$41:$D$49,$E$41:$E$49), _xlfn.XLOOKUP($O110, $D$54:$D$62,$E$54:$E$62), Q72,$F91)</f>
        <v>0.60032587913999991</v>
      </c>
      <c r="R110" s="15" cm="1">
        <f t="array" ref="R110">MMS_Poultry_ManureAppliedToSoils_Equations.VEERG_4_6_1_9__1_MassOfNitrogenAppliedToSoilsScope1(R27,_xlfn.XLOOKUP($O110, $D$41:$D$49,$E$41:$E$49), _xlfn.XLOOKUP($O110, $D$54:$D$62,$E$54:$E$62), R72,$F91)</f>
        <v>0.70469331191999995</v>
      </c>
      <c r="S110" s="15" cm="1">
        <f t="array" ref="S110">MMS_Poultry_ManureAppliedToSoils_Equations.VEERG_4_6_1_9__1_MassOfNitrogenAppliedToSoilsScope1(S27,_xlfn.XLOOKUP($O110, $D$41:$D$49,$E$41:$E$49), _xlfn.XLOOKUP($O110, $D$54:$D$62,$E$54:$E$62), S72,$F91)</f>
        <v>0.60032587913999991</v>
      </c>
      <c r="T110" s="16"/>
    </row>
    <row r="111" spans="1:20" ht="20.100000000000001" customHeight="1" x14ac:dyDescent="0.2">
      <c r="D111" s="15"/>
      <c r="E111" s="15" t="str">
        <f>INDEX(X_Table_Poultry_Stage2MMS_BeltManureRemoval,3,1)</f>
        <v>Composting (passive windrow)</v>
      </c>
      <c r="F111" s="15" cm="1">
        <f t="array" ref="F111">MMS_Poultry_ManureAppliedToSoils_Equations.VEERG_4_6_1_9__1_MassOfNitrogenAppliedToSoilsScope1(F28,_xlfn.XLOOKUP($E111, $D$41:$D$49,$E$41:$E$49), _xlfn.XLOOKUP($E111, $D$54:$D$62,$E$54:$E$62), F73,$F92)</f>
        <v>0.57331223352000016</v>
      </c>
      <c r="G111" s="15" cm="1">
        <f t="array" ref="G111">MMS_Poultry_ManureAppliedToSoils_Equations.VEERG_4_6_1_9__1_MassOfNitrogenAppliedToSoilsScope1(G28,_xlfn.XLOOKUP($E111, $D$41:$D$49,$E$41:$E$49), _xlfn.XLOOKUP($E111, $D$54:$D$62,$E$54:$E$62), G73,$F92)</f>
        <v>0.61194508970400008</v>
      </c>
      <c r="H111" s="15" cm="1">
        <f t="array" ref="H111">MMS_Poultry_ManureAppliedToSoils_Equations.VEERG_4_6_1_9__1_MassOfNitrogenAppliedToSoilsScope1(H28,_xlfn.XLOOKUP($E111, $D$41:$D$49,$E$41:$E$49), _xlfn.XLOOKUP($E111, $D$54:$D$62,$E$54:$E$62), H73,$F92)</f>
        <v>0.71833253731199997</v>
      </c>
      <c r="I111" s="15" cm="1">
        <f t="array" ref="I111">MMS_Poultry_ManureAppliedToSoils_Equations.VEERG_4_6_1_9__1_MassOfNitrogenAppliedToSoilsScope1(I28,_xlfn.XLOOKUP($E111, $D$41:$D$49,$E$41:$E$49), _xlfn.XLOOKUP($E111, $D$54:$D$62,$E$54:$E$62), I73,$F92)</f>
        <v>0.61194508970400008</v>
      </c>
      <c r="J111" s="16"/>
      <c r="N111" s="15"/>
      <c r="O111" s="15" t="str">
        <f>INDEX(X_Table_Poultry_Stage2MMS_BeltManureRemoval,3,1)</f>
        <v>Composting (passive windrow)</v>
      </c>
      <c r="P111" s="15" cm="1">
        <f t="array" ref="P111">MMS_Poultry_ManureAppliedToSoils_Equations.VEERG_4_6_1_9__1_MassOfNitrogenAppliedToSoilsScope1(P28,_xlfn.XLOOKUP($O111, $D$41:$D$49,$E$41:$E$49), _xlfn.XLOOKUP($O111, $D$54:$D$62,$E$54:$E$62), P73,$F92)</f>
        <v>0.57331223352000016</v>
      </c>
      <c r="Q111" s="15" cm="1">
        <f t="array" ref="Q111">MMS_Poultry_ManureAppliedToSoils_Equations.VEERG_4_6_1_9__1_MassOfNitrogenAppliedToSoilsScope1(Q28,_xlfn.XLOOKUP($O111, $D$41:$D$49,$E$41:$E$49), _xlfn.XLOOKUP($O111, $D$54:$D$62,$E$54:$E$62), Q73,$F92)</f>
        <v>0.61194508970400008</v>
      </c>
      <c r="R111" s="15" cm="1">
        <f t="array" ref="R111">MMS_Poultry_ManureAppliedToSoils_Equations.VEERG_4_6_1_9__1_MassOfNitrogenAppliedToSoilsScope1(R28,_xlfn.XLOOKUP($O111, $D$41:$D$49,$E$41:$E$49), _xlfn.XLOOKUP($O111, $D$54:$D$62,$E$54:$E$62), R73,$F92)</f>
        <v>0.71833253731199997</v>
      </c>
      <c r="S111" s="15" cm="1">
        <f t="array" ref="S111">MMS_Poultry_ManureAppliedToSoils_Equations.VEERG_4_6_1_9__1_MassOfNitrogenAppliedToSoilsScope1(S28,_xlfn.XLOOKUP($O111, $D$41:$D$49,$E$41:$E$49), _xlfn.XLOOKUP($O111, $D$54:$D$62,$E$54:$E$62), S73,$F92)</f>
        <v>0.61194508970400008</v>
      </c>
      <c r="T111" s="16"/>
    </row>
    <row r="112" spans="1:20" ht="20.100000000000001" customHeight="1" x14ac:dyDescent="0.2">
      <c r="D112" s="15"/>
      <c r="E112" s="15" t="str">
        <f>INDEX(X_Table_Poultry_Stage2MMS_BeltManureRemoval,4,1)</f>
        <v>Digester / covered lagoons</v>
      </c>
      <c r="F112" s="15" cm="1">
        <f t="array" ref="F112">MMS_Poultry_ManureAppliedToSoils_Equations.VEERG_4_6_1_9__1_MassOfNitrogenAppliedToSoilsScope1(F29,_xlfn.XLOOKUP($E112, $D$41:$D$49,$E$41:$E$49), _xlfn.XLOOKUP($E112, $D$54:$D$62,$E$54:$E$62), F74,$F93)</f>
        <v>0.72571168800000019</v>
      </c>
      <c r="G112" s="15" cm="1">
        <f t="array" ref="G112">MMS_Poultry_ManureAppliedToSoils_Equations.VEERG_4_6_1_9__1_MassOfNitrogenAppliedToSoilsScope1(G29,_xlfn.XLOOKUP($E112, $D$41:$D$49,$E$41:$E$49), _xlfn.XLOOKUP($E112, $D$54:$D$62,$E$54:$E$62), G74,$F93)</f>
        <v>0.77461403760000003</v>
      </c>
      <c r="H112" s="15" cm="1">
        <f t="array" ref="H112">MMS_Poultry_ManureAppliedToSoils_Equations.VEERG_4_6_1_9__1_MassOfNitrogenAppliedToSoilsScope1(H29,_xlfn.XLOOKUP($E112, $D$41:$D$49,$E$41:$E$49), _xlfn.XLOOKUP($E112, $D$54:$D$62,$E$54:$E$62), H74,$F93)</f>
        <v>0.90928169280000004</v>
      </c>
      <c r="I112" s="15" cm="1">
        <f t="array" ref="I112">MMS_Poultry_ManureAppliedToSoils_Equations.VEERG_4_6_1_9__1_MassOfNitrogenAppliedToSoilsScope1(I29,_xlfn.XLOOKUP($E112, $D$41:$D$49,$E$41:$E$49), _xlfn.XLOOKUP($E112, $D$54:$D$62,$E$54:$E$62), I74,$F93)</f>
        <v>0.77461403760000003</v>
      </c>
      <c r="J112" s="16"/>
      <c r="N112" s="15"/>
      <c r="O112" s="15" t="str">
        <f>INDEX(X_Table_Poultry_Stage2MMS_BeltManureRemoval,4,1)</f>
        <v>Digester / covered lagoons</v>
      </c>
      <c r="P112" s="15" cm="1">
        <f t="array" ref="P112">MMS_Poultry_ManureAppliedToSoils_Equations.VEERG_4_6_1_9__1_MassOfNitrogenAppliedToSoilsScope1(P29,_xlfn.XLOOKUP($O112, $D$41:$D$49,$E$41:$E$49), _xlfn.XLOOKUP($O112, $D$54:$D$62,$E$54:$E$62), P74,$F93)</f>
        <v>0.72571168800000019</v>
      </c>
      <c r="Q112" s="15" cm="1">
        <f t="array" ref="Q112">MMS_Poultry_ManureAppliedToSoils_Equations.VEERG_4_6_1_9__1_MassOfNitrogenAppliedToSoilsScope1(Q29,_xlfn.XLOOKUP($O112, $D$41:$D$49,$E$41:$E$49), _xlfn.XLOOKUP($O112, $D$54:$D$62,$E$54:$E$62), Q74,$F93)</f>
        <v>0.77461403760000003</v>
      </c>
      <c r="R112" s="15" cm="1">
        <f t="array" ref="R112">MMS_Poultry_ManureAppliedToSoils_Equations.VEERG_4_6_1_9__1_MassOfNitrogenAppliedToSoilsScope1(R29,_xlfn.XLOOKUP($O112, $D$41:$D$49,$E$41:$E$49), _xlfn.XLOOKUP($O112, $D$54:$D$62,$E$54:$E$62), R74,$F93)</f>
        <v>0.90928169280000004</v>
      </c>
      <c r="S112" s="15" cm="1">
        <f t="array" ref="S112">MMS_Poultry_ManureAppliedToSoils_Equations.VEERG_4_6_1_9__1_MassOfNitrogenAppliedToSoilsScope1(S29,_xlfn.XLOOKUP($O112, $D$41:$D$49,$E$41:$E$49), _xlfn.XLOOKUP($O112, $D$54:$D$62,$E$54:$E$62), S74,$F93)</f>
        <v>0.77461403760000003</v>
      </c>
      <c r="T112" s="16"/>
    </row>
    <row r="113" spans="1:21" ht="20.100000000000001" customHeight="1" x14ac:dyDescent="0.2">
      <c r="D113" s="15"/>
      <c r="E113" s="15" t="str">
        <f>INDEX(X_Table_Poultry_Stage2MMS_BeltManureRemoval,5,1)</f>
        <v>Direct processing</v>
      </c>
      <c r="F113" s="15" cm="1">
        <f t="array" ref="F113">MMS_Poultry_ManureAppliedToSoils_Equations.VEERG_4_6_1_9__1_MassOfNitrogenAppliedToSoilsScope1(F30,_xlfn.XLOOKUP($E113, $D$41:$D$49,$E$41:$E$49), _xlfn.XLOOKUP($E113, $D$54:$D$62,$E$54:$E$62), F75,$F94)</f>
        <v>0.72571168800000019</v>
      </c>
      <c r="G113" s="15" cm="1">
        <f t="array" ref="G113">MMS_Poultry_ManureAppliedToSoils_Equations.VEERG_4_6_1_9__1_MassOfNitrogenAppliedToSoilsScope1(G30,_xlfn.XLOOKUP($E113, $D$41:$D$49,$E$41:$E$49), _xlfn.XLOOKUP($E113, $D$54:$D$62,$E$54:$E$62), G75,$F94)</f>
        <v>0.77461403760000003</v>
      </c>
      <c r="H113" s="15" cm="1">
        <f t="array" ref="H113">MMS_Poultry_ManureAppliedToSoils_Equations.VEERG_4_6_1_9__1_MassOfNitrogenAppliedToSoilsScope1(H30,_xlfn.XLOOKUP($E113, $D$41:$D$49,$E$41:$E$49), _xlfn.XLOOKUP($E113, $D$54:$D$62,$E$54:$E$62), H75,$F94)</f>
        <v>0.90928169280000004</v>
      </c>
      <c r="I113" s="15" cm="1">
        <f t="array" ref="I113">MMS_Poultry_ManureAppliedToSoils_Equations.VEERG_4_6_1_9__1_MassOfNitrogenAppliedToSoilsScope1(I30,_xlfn.XLOOKUP($E113, $D$41:$D$49,$E$41:$E$49), _xlfn.XLOOKUP($E113, $D$54:$D$62,$E$54:$E$62), I75,$F94)</f>
        <v>0.77461403760000003</v>
      </c>
      <c r="J113" s="16"/>
      <c r="N113" s="15"/>
      <c r="O113" s="15" t="str">
        <f>INDEX(X_Table_Poultry_Stage2MMS_BeltManureRemoval,5,1)</f>
        <v>Direct processing</v>
      </c>
      <c r="P113" s="15" cm="1">
        <f t="array" ref="P113">MMS_Poultry_ManureAppliedToSoils_Equations.VEERG_4_6_1_9__1_MassOfNitrogenAppliedToSoilsScope1(P30,_xlfn.XLOOKUP($O113, $D$41:$D$49,$E$41:$E$49), _xlfn.XLOOKUP($O113, $D$54:$D$62,$E$54:$E$62), P75,$F94)</f>
        <v>0.72571168800000019</v>
      </c>
      <c r="Q113" s="15" cm="1">
        <f t="array" ref="Q113">MMS_Poultry_ManureAppliedToSoils_Equations.VEERG_4_6_1_9__1_MassOfNitrogenAppliedToSoilsScope1(Q30,_xlfn.XLOOKUP($O113, $D$41:$D$49,$E$41:$E$49), _xlfn.XLOOKUP($O113, $D$54:$D$62,$E$54:$E$62), Q75,$F94)</f>
        <v>0.77461403760000003</v>
      </c>
      <c r="R113" s="15" cm="1">
        <f t="array" ref="R113">MMS_Poultry_ManureAppliedToSoils_Equations.VEERG_4_6_1_9__1_MassOfNitrogenAppliedToSoilsScope1(R30,_xlfn.XLOOKUP($O113, $D$41:$D$49,$E$41:$E$49), _xlfn.XLOOKUP($O113, $D$54:$D$62,$E$54:$E$62), R75,$F94)</f>
        <v>0.90928169280000004</v>
      </c>
      <c r="S113" s="15" cm="1">
        <f t="array" ref="S113">MMS_Poultry_ManureAppliedToSoils_Equations.VEERG_4_6_1_9__1_MassOfNitrogenAppliedToSoilsScope1(S30,_xlfn.XLOOKUP($O113, $D$41:$D$49,$E$41:$E$49), _xlfn.XLOOKUP($O113, $D$54:$D$62,$E$54:$E$62), S75,$F94)</f>
        <v>0.77461403760000003</v>
      </c>
      <c r="T113" s="16"/>
    </row>
    <row r="114" spans="1:21" ht="20.100000000000001" customHeight="1" x14ac:dyDescent="0.2">
      <c r="D114" s="15"/>
      <c r="E114" s="15" t="str">
        <f>INDEX(X_Table_Poultry_Stage2MMS_BeltManureRemoval,6,1)</f>
        <v>Direct application</v>
      </c>
      <c r="F114" s="15" cm="1">
        <f t="array" ref="F114">MMS_Poultry_ManureAppliedToSoils_Equations.VEERG_4_6_1_9__1_MassOfNitrogenAppliedToSoilsScope1(F31,_xlfn.XLOOKUP($E114, $D$41:$D$49,$E$41:$E$49), _xlfn.XLOOKUP($E114, $D$54:$D$62,$E$54:$E$62), F76,$F95)</f>
        <v>0.96761558399999992</v>
      </c>
      <c r="G114" s="15" cm="1">
        <f t="array" ref="G114">MMS_Poultry_ManureAppliedToSoils_Equations.VEERG_4_6_1_9__1_MassOfNitrogenAppliedToSoilsScope1(G31,_xlfn.XLOOKUP($E114, $D$41:$D$49,$E$41:$E$49), _xlfn.XLOOKUP($E114, $D$54:$D$62,$E$54:$E$62), G76,$F95)</f>
        <v>1.0328187167999998</v>
      </c>
      <c r="H114" s="15" cm="1">
        <f t="array" ref="H114">MMS_Poultry_ManureAppliedToSoils_Equations.VEERG_4_6_1_9__1_MassOfNitrogenAppliedToSoilsScope1(H31,_xlfn.XLOOKUP($E114, $D$41:$D$49,$E$41:$E$49), _xlfn.XLOOKUP($E114, $D$54:$D$62,$E$54:$E$62), H76,$F95)</f>
        <v>1.2123755903999998</v>
      </c>
      <c r="I114" s="15" cm="1">
        <f t="array" ref="I114">MMS_Poultry_ManureAppliedToSoils_Equations.VEERG_4_6_1_9__1_MassOfNitrogenAppliedToSoilsScope1(I31,_xlfn.XLOOKUP($E114, $D$41:$D$49,$E$41:$E$49), _xlfn.XLOOKUP($E114, $D$54:$D$62,$E$54:$E$62), I76,$F95)</f>
        <v>1.0328187167999998</v>
      </c>
      <c r="N114" s="15"/>
      <c r="O114" s="15" t="str">
        <f>INDEX(X_Table_Poultry_Stage2MMS_BeltManureRemoval,6,1)</f>
        <v>Direct application</v>
      </c>
      <c r="P114" s="15" cm="1">
        <f t="array" ref="P114">MMS_Poultry_ManureAppliedToSoils_Equations.VEERG_4_6_1_9__1_MassOfNitrogenAppliedToSoilsScope1(P31,_xlfn.XLOOKUP($O114, $D$41:$D$49,$E$41:$E$49), _xlfn.XLOOKUP($O114, $D$54:$D$62,$E$54:$E$62), P76,$F95)</f>
        <v>0.96761558399999992</v>
      </c>
      <c r="Q114" s="15" cm="1">
        <f t="array" ref="Q114">MMS_Poultry_ManureAppliedToSoils_Equations.VEERG_4_6_1_9__1_MassOfNitrogenAppliedToSoilsScope1(Q31,_xlfn.XLOOKUP($O114, $D$41:$D$49,$E$41:$E$49), _xlfn.XLOOKUP($O114, $D$54:$D$62,$E$54:$E$62), Q76,$F95)</f>
        <v>1.0328187167999998</v>
      </c>
      <c r="R114" s="15" cm="1">
        <f t="array" ref="R114">MMS_Poultry_ManureAppliedToSoils_Equations.VEERG_4_6_1_9__1_MassOfNitrogenAppliedToSoilsScope1(R31,_xlfn.XLOOKUP($O114, $D$41:$D$49,$E$41:$E$49), _xlfn.XLOOKUP($O114, $D$54:$D$62,$E$54:$E$62), R76,$F95)</f>
        <v>1.2123755903999998</v>
      </c>
      <c r="S114" s="15" cm="1">
        <f t="array" ref="S114">MMS_Poultry_ManureAppliedToSoils_Equations.VEERG_4_6_1_9__1_MassOfNitrogenAppliedToSoilsScope1(S31,_xlfn.XLOOKUP($O114, $D$41:$D$49,$E$41:$E$49), _xlfn.XLOOKUP($O114, $D$54:$D$62,$E$54:$E$62), S76,$F95)</f>
        <v>1.0328187167999998</v>
      </c>
    </row>
    <row r="115" spans="1:21" ht="20.100000000000001" customHeight="1" x14ac:dyDescent="0.2">
      <c r="D115" s="15" t="str">
        <f>INDEX(X_Table_Poultry_Stage1MMS,4,1)</f>
        <v>Manure stored in house</v>
      </c>
      <c r="E115" s="15" t="str">
        <f>INDEX(X_Table_Poultry_Stage2MMS_ManureStoredInHouse,2,1)</f>
        <v>Solid storage</v>
      </c>
      <c r="F115" s="15" cm="1">
        <f t="array" ref="F115">MMS_Poultry_ManureAppliedToSoils_Equations.VEERG_4_6_1_9__1_MassOfNitrogenAppliedToSoilsScope1(F32,_xlfn.XLOOKUP($E115, $D$41:$D$49,$E$41:$E$49), _xlfn.XLOOKUP($E115, $D$54:$D$62,$E$54:$E$62), F77,$F96)</f>
        <v>0.35499842820000005</v>
      </c>
      <c r="G115" s="15" cm="1">
        <f t="array" ref="G115">MMS_Poultry_ManureAppliedToSoils_Equations.VEERG_4_6_1_9__1_MassOfNitrogenAppliedToSoilsScope1(G32,_xlfn.XLOOKUP($E115, $D$41:$D$49,$E$41:$E$49), _xlfn.XLOOKUP($E115, $D$54:$D$62,$E$54:$E$62), G77,$F96)</f>
        <v>0.37892012813999987</v>
      </c>
      <c r="H115" s="15" cm="1">
        <f t="array" ref="H115">MMS_Poultry_ManureAppliedToSoils_Equations.VEERG_4_6_1_9__1_MassOfNitrogenAppliedToSoilsScope1(H32,_xlfn.XLOOKUP($E115, $D$41:$D$49,$E$41:$E$49), _xlfn.XLOOKUP($E115, $D$54:$D$62,$E$54:$E$62), H77,$F96)</f>
        <v>0.44479588391999991</v>
      </c>
      <c r="I115" s="15" cm="1">
        <f t="array" ref="I115">MMS_Poultry_ManureAppliedToSoils_Equations.VEERG_4_6_1_9__1_MassOfNitrogenAppliedToSoilsScope1(I32,_xlfn.XLOOKUP($E115, $D$41:$D$49,$E$41:$E$49), _xlfn.XLOOKUP($E115, $D$54:$D$62,$E$54:$E$62), I77,$F96)</f>
        <v>0.37892012813999987</v>
      </c>
      <c r="J115" s="16"/>
      <c r="N115" s="15" t="str">
        <f>INDEX(X_Table_Poultry_Stage1MMS,4,1)</f>
        <v>Manure stored in house</v>
      </c>
      <c r="O115" s="15" t="str">
        <f>INDEX(X_Table_Poultry_Stage2MMS_ManureStoredInHouse,2,1)</f>
        <v>Solid storage</v>
      </c>
      <c r="P115" s="15" cm="1">
        <f t="array" ref="P115">MMS_Poultry_ManureAppliedToSoils_Equations.VEERG_4_6_1_9__1_MassOfNitrogenAppliedToSoilsScope1(P32,_xlfn.XLOOKUP($O115, $D$41:$D$49,$E$41:$E$49), _xlfn.XLOOKUP($O115, $D$54:$D$62,$E$54:$E$62), P77,$F96)</f>
        <v>0.35499842820000005</v>
      </c>
      <c r="Q115" s="15" cm="1">
        <f t="array" ref="Q115">MMS_Poultry_ManureAppliedToSoils_Equations.VEERG_4_6_1_9__1_MassOfNitrogenAppliedToSoilsScope1(Q32,_xlfn.XLOOKUP($O115, $D$41:$D$49,$E$41:$E$49), _xlfn.XLOOKUP($O115, $D$54:$D$62,$E$54:$E$62), Q77,$F96)</f>
        <v>0.37892012813999987</v>
      </c>
      <c r="R115" s="15" cm="1">
        <f t="array" ref="R115">MMS_Poultry_ManureAppliedToSoils_Equations.VEERG_4_6_1_9__1_MassOfNitrogenAppliedToSoilsScope1(R32,_xlfn.XLOOKUP($O115, $D$41:$D$49,$E$41:$E$49), _xlfn.XLOOKUP($O115, $D$54:$D$62,$E$54:$E$62), R77,$F96)</f>
        <v>0.44479588391999991</v>
      </c>
      <c r="S115" s="15" cm="1">
        <f t="array" ref="S115">MMS_Poultry_ManureAppliedToSoils_Equations.VEERG_4_6_1_9__1_MassOfNitrogenAppliedToSoilsScope1(S32,_xlfn.XLOOKUP($O115, $D$41:$D$49,$E$41:$E$49), _xlfn.XLOOKUP($O115, $D$54:$D$62,$E$54:$E$62), S77,$F96)</f>
        <v>0.37892012813999987</v>
      </c>
      <c r="T115" s="16"/>
    </row>
    <row r="116" spans="1:21" ht="20.100000000000001" customHeight="1" x14ac:dyDescent="0.2">
      <c r="D116" s="15"/>
      <c r="E116" s="15" t="str">
        <f>INDEX(X_Table_Poultry_Stage2MMS_ManureStoredInHouse,3,1)</f>
        <v>Composting (passive windrow)</v>
      </c>
      <c r="F116" s="15" cm="1">
        <f t="array" ref="F116">MMS_Poultry_ManureAppliedToSoils_Equations.VEERG_4_6_1_9__1_MassOfNitrogenAppliedToSoilsScope1(F33,_xlfn.XLOOKUP($E116, $D$41:$D$49,$E$41:$E$49), _xlfn.XLOOKUP($E116, $D$54:$D$62,$E$54:$E$62), F78,$F97)</f>
        <v>0.3618693655200001</v>
      </c>
      <c r="G116" s="15" cm="1">
        <f t="array" ref="G116">MMS_Poultry_ManureAppliedToSoils_Equations.VEERG_4_6_1_9__1_MassOfNitrogenAppliedToSoilsScope1(G33,_xlfn.XLOOKUP($E116, $D$41:$D$49,$E$41:$E$49), _xlfn.XLOOKUP($E116, $D$54:$D$62,$E$54:$E$62), G78,$F97)</f>
        <v>0.38625406610400004</v>
      </c>
      <c r="H116" s="15" cm="1">
        <f t="array" ref="H116">MMS_Poultry_ManureAppliedToSoils_Equations.VEERG_4_6_1_9__1_MassOfNitrogenAppliedToSoilsScope1(H33,_xlfn.XLOOKUP($E116, $D$41:$D$49,$E$41:$E$49), _xlfn.XLOOKUP($E116, $D$54:$D$62,$E$54:$E$62), H78,$F97)</f>
        <v>0.45340483651199992</v>
      </c>
      <c r="I116" s="15" cm="1">
        <f t="array" ref="I116">MMS_Poultry_ManureAppliedToSoils_Equations.VEERG_4_6_1_9__1_MassOfNitrogenAppliedToSoilsScope1(I33,_xlfn.XLOOKUP($E116, $D$41:$D$49,$E$41:$E$49), _xlfn.XLOOKUP($E116, $D$54:$D$62,$E$54:$E$62), I78,$F97)</f>
        <v>0.38625406610400004</v>
      </c>
      <c r="J116" s="16"/>
      <c r="N116" s="15"/>
      <c r="O116" s="15" t="str">
        <f>INDEX(X_Table_Poultry_Stage2MMS_ManureStoredInHouse,3,1)</f>
        <v>Composting (passive windrow)</v>
      </c>
      <c r="P116" s="15" cm="1">
        <f t="array" ref="P116">MMS_Poultry_ManureAppliedToSoils_Equations.VEERG_4_6_1_9__1_MassOfNitrogenAppliedToSoilsScope1(P33,_xlfn.XLOOKUP($O116, $D$41:$D$49,$E$41:$E$49), _xlfn.XLOOKUP($O116, $D$54:$D$62,$E$54:$E$62), P78,$F97)</f>
        <v>0.3618693655200001</v>
      </c>
      <c r="Q116" s="15" cm="1">
        <f t="array" ref="Q116">MMS_Poultry_ManureAppliedToSoils_Equations.VEERG_4_6_1_9__1_MassOfNitrogenAppliedToSoilsScope1(Q33,_xlfn.XLOOKUP($O116, $D$41:$D$49,$E$41:$E$49), _xlfn.XLOOKUP($O116, $D$54:$D$62,$E$54:$E$62), Q78,$F97)</f>
        <v>0.38625406610400004</v>
      </c>
      <c r="R116" s="15" cm="1">
        <f t="array" ref="R116">MMS_Poultry_ManureAppliedToSoils_Equations.VEERG_4_6_1_9__1_MassOfNitrogenAppliedToSoilsScope1(R33,_xlfn.XLOOKUP($O116, $D$41:$D$49,$E$41:$E$49), _xlfn.XLOOKUP($O116, $D$54:$D$62,$E$54:$E$62), R78,$F97)</f>
        <v>0.45340483651199992</v>
      </c>
      <c r="S116" s="15" cm="1">
        <f t="array" ref="S116">MMS_Poultry_ManureAppliedToSoils_Equations.VEERG_4_6_1_9__1_MassOfNitrogenAppliedToSoilsScope1(S33,_xlfn.XLOOKUP($O116, $D$41:$D$49,$E$41:$E$49), _xlfn.XLOOKUP($O116, $D$54:$D$62,$E$54:$E$62), S78,$F97)</f>
        <v>0.38625406610400004</v>
      </c>
      <c r="T116" s="16"/>
    </row>
    <row r="117" spans="1:21" ht="20.100000000000001" customHeight="1" x14ac:dyDescent="0.2">
      <c r="D117" s="15"/>
      <c r="E117" s="15" t="str">
        <f>INDEX(X_Table_Poultry_Stage2MMS_ManureStoredInHouse,4,1)</f>
        <v>Digester / covered lagoons</v>
      </c>
      <c r="F117" s="15" cm="1">
        <f t="array" ref="F117">MMS_Poultry_ManureAppliedToSoils_Equations.VEERG_4_6_1_9__1_MassOfNitrogenAppliedToSoilsScope1(F34,_xlfn.XLOOKUP($E117, $D$41:$D$49,$E$41:$E$49), _xlfn.XLOOKUP($E117, $D$54:$D$62,$E$54:$E$62), F79,$F98)</f>
        <v>0.4580624880000001</v>
      </c>
      <c r="G117" s="15" cm="1">
        <f t="array" ref="G117">MMS_Poultry_ManureAppliedToSoils_Equations.VEERG_4_6_1_9__1_MassOfNitrogenAppliedToSoilsScope1(G34,_xlfn.XLOOKUP($E117, $D$41:$D$49,$E$41:$E$49), _xlfn.XLOOKUP($E117, $D$54:$D$62,$E$54:$E$62), G79,$F98)</f>
        <v>0.48892919759999998</v>
      </c>
      <c r="H117" s="15" cm="1">
        <f t="array" ref="H117">MMS_Poultry_ManureAppliedToSoils_Equations.VEERG_4_6_1_9__1_MassOfNitrogenAppliedToSoilsScope1(H34,_xlfn.XLOOKUP($E117, $D$41:$D$49,$E$41:$E$49), _xlfn.XLOOKUP($E117, $D$54:$D$62,$E$54:$E$62), H79,$F98)</f>
        <v>0.57393017279999992</v>
      </c>
      <c r="I117" s="15" cm="1">
        <f t="array" ref="I117">MMS_Poultry_ManureAppliedToSoils_Equations.VEERG_4_6_1_9__1_MassOfNitrogenAppliedToSoilsScope1(I34,_xlfn.XLOOKUP($E117, $D$41:$D$49,$E$41:$E$49), _xlfn.XLOOKUP($E117, $D$54:$D$62,$E$54:$E$62), I79,$F98)</f>
        <v>0.48892919759999998</v>
      </c>
      <c r="J117" s="16"/>
      <c r="N117" s="15"/>
      <c r="O117" s="15" t="str">
        <f>INDEX(X_Table_Poultry_Stage2MMS_ManureStoredInHouse,4,1)</f>
        <v>Digester / covered lagoons</v>
      </c>
      <c r="P117" s="15" cm="1">
        <f t="array" ref="P117">MMS_Poultry_ManureAppliedToSoils_Equations.VEERG_4_6_1_9__1_MassOfNitrogenAppliedToSoilsScope1(P34,_xlfn.XLOOKUP($O117, $D$41:$D$49,$E$41:$E$49), _xlfn.XLOOKUP($O117, $D$54:$D$62,$E$54:$E$62), P79,$F98)</f>
        <v>0.4580624880000001</v>
      </c>
      <c r="Q117" s="15" cm="1">
        <f t="array" ref="Q117">MMS_Poultry_ManureAppliedToSoils_Equations.VEERG_4_6_1_9__1_MassOfNitrogenAppliedToSoilsScope1(Q34,_xlfn.XLOOKUP($O117, $D$41:$D$49,$E$41:$E$49), _xlfn.XLOOKUP($O117, $D$54:$D$62,$E$54:$E$62), Q79,$F98)</f>
        <v>0.48892919759999998</v>
      </c>
      <c r="R117" s="15" cm="1">
        <f t="array" ref="R117">MMS_Poultry_ManureAppliedToSoils_Equations.VEERG_4_6_1_9__1_MassOfNitrogenAppliedToSoilsScope1(R34,_xlfn.XLOOKUP($O117, $D$41:$D$49,$E$41:$E$49), _xlfn.XLOOKUP($O117, $D$54:$D$62,$E$54:$E$62), R79,$F98)</f>
        <v>0.57393017279999992</v>
      </c>
      <c r="S117" s="15" cm="1">
        <f t="array" ref="S117">MMS_Poultry_ManureAppliedToSoils_Equations.VEERG_4_6_1_9__1_MassOfNitrogenAppliedToSoilsScope1(S34,_xlfn.XLOOKUP($O117, $D$41:$D$49,$E$41:$E$49), _xlfn.XLOOKUP($O117, $D$54:$D$62,$E$54:$E$62), S79,$F98)</f>
        <v>0.48892919759999998</v>
      </c>
      <c r="T117" s="16"/>
    </row>
    <row r="118" spans="1:21" ht="20.100000000000001" customHeight="1" x14ac:dyDescent="0.2">
      <c r="D118" s="15"/>
      <c r="E118" s="15" t="str">
        <f>INDEX(X_Table_Poultry_Stage2MMS_ManureStoredInHouse,5,1)</f>
        <v>Direct processing</v>
      </c>
      <c r="F118" s="15" cm="1">
        <f t="array" ref="F118">MMS_Poultry_ManureAppliedToSoils_Equations.VEERG_4_6_1_9__1_MassOfNitrogenAppliedToSoilsScope1(F35,_xlfn.XLOOKUP($E118, $D$41:$D$49,$E$41:$E$49), _xlfn.XLOOKUP($E118, $D$54:$D$62,$E$54:$E$62), F80,$F99)</f>
        <v>0.4580624880000001</v>
      </c>
      <c r="G118" s="15" cm="1">
        <f t="array" ref="G118">MMS_Poultry_ManureAppliedToSoils_Equations.VEERG_4_6_1_9__1_MassOfNitrogenAppliedToSoilsScope1(G35,_xlfn.XLOOKUP($E118, $D$41:$D$49,$E$41:$E$49), _xlfn.XLOOKUP($E118, $D$54:$D$62,$E$54:$E$62), G80,$F99)</f>
        <v>0.48892919759999998</v>
      </c>
      <c r="H118" s="15" cm="1">
        <f t="array" ref="H118">MMS_Poultry_ManureAppliedToSoils_Equations.VEERG_4_6_1_9__1_MassOfNitrogenAppliedToSoilsScope1(H35,_xlfn.XLOOKUP($E118, $D$41:$D$49,$E$41:$E$49), _xlfn.XLOOKUP($E118, $D$54:$D$62,$E$54:$E$62), H80,$F99)</f>
        <v>0.57393017279999992</v>
      </c>
      <c r="I118" s="15" cm="1">
        <f t="array" ref="I118">MMS_Poultry_ManureAppliedToSoils_Equations.VEERG_4_6_1_9__1_MassOfNitrogenAppliedToSoilsScope1(I35,_xlfn.XLOOKUP($E118, $D$41:$D$49,$E$41:$E$49), _xlfn.XLOOKUP($E118, $D$54:$D$62,$E$54:$E$62), I80,$F99)</f>
        <v>0.48892919759999998</v>
      </c>
      <c r="J118" s="16"/>
      <c r="N118" s="15"/>
      <c r="O118" s="15" t="str">
        <f>INDEX(X_Table_Poultry_Stage2MMS_ManureStoredInHouse,5,1)</f>
        <v>Direct processing</v>
      </c>
      <c r="P118" s="15" cm="1">
        <f t="array" ref="P118">MMS_Poultry_ManureAppliedToSoils_Equations.VEERG_4_6_1_9__1_MassOfNitrogenAppliedToSoilsScope1(P35,_xlfn.XLOOKUP($O118, $D$41:$D$49,$E$41:$E$49), _xlfn.XLOOKUP($O118, $D$54:$D$62,$E$54:$E$62), P80,$F99)</f>
        <v>0.4580624880000001</v>
      </c>
      <c r="Q118" s="15" cm="1">
        <f t="array" ref="Q118">MMS_Poultry_ManureAppliedToSoils_Equations.VEERG_4_6_1_9__1_MassOfNitrogenAppliedToSoilsScope1(Q35,_xlfn.XLOOKUP($O118, $D$41:$D$49,$E$41:$E$49), _xlfn.XLOOKUP($O118, $D$54:$D$62,$E$54:$E$62), Q80,$F99)</f>
        <v>0.48892919759999998</v>
      </c>
      <c r="R118" s="15" cm="1">
        <f t="array" ref="R118">MMS_Poultry_ManureAppliedToSoils_Equations.VEERG_4_6_1_9__1_MassOfNitrogenAppliedToSoilsScope1(R35,_xlfn.XLOOKUP($O118, $D$41:$D$49,$E$41:$E$49), _xlfn.XLOOKUP($O118, $D$54:$D$62,$E$54:$E$62), R80,$F99)</f>
        <v>0.57393017279999992</v>
      </c>
      <c r="S118" s="15" cm="1">
        <f t="array" ref="S118">MMS_Poultry_ManureAppliedToSoils_Equations.VEERG_4_6_1_9__1_MassOfNitrogenAppliedToSoilsScope1(S35,_xlfn.XLOOKUP($O118, $D$41:$D$49,$E$41:$E$49), _xlfn.XLOOKUP($O118, $D$54:$D$62,$E$54:$E$62), S80,$F99)</f>
        <v>0.48892919759999998</v>
      </c>
      <c r="T118" s="16"/>
    </row>
    <row r="119" spans="1:21" ht="20.100000000000001" customHeight="1" x14ac:dyDescent="0.2">
      <c r="D119" s="15"/>
      <c r="E119" s="15" t="str">
        <f>INDEX(X_Table_Poultry_Stage2MMS_ManureStoredInHouse,6,1)</f>
        <v>Direct application</v>
      </c>
      <c r="F119" s="15" cm="1">
        <f t="array" ref="F119">MMS_Poultry_ManureAppliedToSoils_Equations.VEERG_4_6_1_9__1_MassOfNitrogenAppliedToSoilsScope1(F36,_xlfn.XLOOKUP($E119, $D$41:$D$49,$E$41:$E$49), _xlfn.XLOOKUP($E119, $D$54:$D$62,$E$54:$E$62), F81,$F100)</f>
        <v>0.61074998399999991</v>
      </c>
      <c r="G119" s="15" cm="1">
        <f t="array" ref="G119">MMS_Poultry_ManureAppliedToSoils_Equations.VEERG_4_6_1_9__1_MassOfNitrogenAppliedToSoilsScope1(G36,_xlfn.XLOOKUP($E119, $D$41:$D$49,$E$41:$E$49), _xlfn.XLOOKUP($E119, $D$54:$D$62,$E$54:$E$62), G81,$F100)</f>
        <v>0.65190559679999971</v>
      </c>
      <c r="H119" s="15" cm="1">
        <f t="array" ref="H119">MMS_Poultry_ManureAppliedToSoils_Equations.VEERG_4_6_1_9__1_MassOfNitrogenAppliedToSoilsScope1(H36,_xlfn.XLOOKUP($E119, $D$41:$D$49,$E$41:$E$49), _xlfn.XLOOKUP($E119, $D$54:$D$62,$E$54:$E$62), H81,$F100)</f>
        <v>0.76524023039999967</v>
      </c>
      <c r="I119" s="15" cm="1">
        <f t="array" ref="I119">MMS_Poultry_ManureAppliedToSoils_Equations.VEERG_4_6_1_9__1_MassOfNitrogenAppliedToSoilsScope1(I36,_xlfn.XLOOKUP($E119, $D$41:$D$49,$E$41:$E$49), _xlfn.XLOOKUP($E119, $D$54:$D$62,$E$54:$E$62), I81,$F100)</f>
        <v>0.65190559679999971</v>
      </c>
      <c r="N119" s="15"/>
      <c r="O119" s="15" t="str">
        <f>INDEX(X_Table_Poultry_Stage2MMS_ManureStoredInHouse,6,1)</f>
        <v>Direct application</v>
      </c>
      <c r="P119" s="15" cm="1">
        <f t="array" ref="P119">MMS_Poultry_ManureAppliedToSoils_Equations.VEERG_4_6_1_9__1_MassOfNitrogenAppliedToSoilsScope1(P36,_xlfn.XLOOKUP($O119, $D$41:$D$49,$E$41:$E$49), _xlfn.XLOOKUP($O119, $D$54:$D$62,$E$54:$E$62), P81,$F100)</f>
        <v>0.61074998399999991</v>
      </c>
      <c r="Q119" s="15" cm="1">
        <f t="array" ref="Q119">MMS_Poultry_ManureAppliedToSoils_Equations.VEERG_4_6_1_9__1_MassOfNitrogenAppliedToSoilsScope1(Q36,_xlfn.XLOOKUP($O119, $D$41:$D$49,$E$41:$E$49), _xlfn.XLOOKUP($O119, $D$54:$D$62,$E$54:$E$62), Q81,$F100)</f>
        <v>0.65190559679999971</v>
      </c>
      <c r="R119" s="15" cm="1">
        <f t="array" ref="R119">MMS_Poultry_ManureAppliedToSoils_Equations.VEERG_4_6_1_9__1_MassOfNitrogenAppliedToSoilsScope1(R36,_xlfn.XLOOKUP($O119, $D$41:$D$49,$E$41:$E$49), _xlfn.XLOOKUP($O119, $D$54:$D$62,$E$54:$E$62), R81,$F100)</f>
        <v>0.76524023039999967</v>
      </c>
      <c r="S119" s="15" cm="1">
        <f t="array" ref="S119">MMS_Poultry_ManureAppliedToSoils_Equations.VEERG_4_6_1_9__1_MassOfNitrogenAppliedToSoilsScope1(S36,_xlfn.XLOOKUP($O119, $D$41:$D$49,$E$41:$E$49), _xlfn.XLOOKUP($O119, $D$54:$D$62,$E$54:$E$62), S81,$F100)</f>
        <v>0.65190559679999971</v>
      </c>
    </row>
    <row r="121" spans="1:21" ht="20.100000000000001" customHeight="1" x14ac:dyDescent="0.2">
      <c r="D121" s="85" t="s">
        <v>460</v>
      </c>
      <c r="E121" s="86">
        <f>SUM(F105:I119)</f>
        <v>36.930778279920006</v>
      </c>
      <c r="F121" s="95" t="str">
        <f>$E$11</f>
        <v>kg N</v>
      </c>
      <c r="N121" s="85" t="s">
        <v>460</v>
      </c>
      <c r="O121" s="86">
        <f>SUM(P105:S119)</f>
        <v>36.930778279920006</v>
      </c>
      <c r="P121" s="95" t="str">
        <f>$E$11</f>
        <v>kg N</v>
      </c>
    </row>
    <row r="124" spans="1:21" ht="20.100000000000001" customHeight="1" x14ac:dyDescent="0.2">
      <c r="C124" s="83"/>
      <c r="D124" s="83"/>
      <c r="E124" s="83"/>
      <c r="F124" s="83"/>
      <c r="G124" s="83"/>
      <c r="H124" s="83"/>
      <c r="I124" s="83"/>
      <c r="J124" s="83"/>
      <c r="K124" s="83"/>
      <c r="M124" s="83"/>
      <c r="N124" s="83"/>
      <c r="O124" s="83"/>
      <c r="P124" s="83"/>
      <c r="Q124" s="83"/>
      <c r="R124" s="83"/>
      <c r="S124" s="83"/>
      <c r="T124" s="83"/>
      <c r="U124" s="83"/>
    </row>
    <row r="125" spans="1:21" ht="20.100000000000001" customHeight="1" x14ac:dyDescent="0.2">
      <c r="D125" s="2" t="str" cm="1">
        <f t="array" ref="D125">MMS_Poultry_ManureAppliedToSoils_Equations.VEERG_4_6_1_9__2_MassOfNitrogenAppliedToSoilsScope3_Title()</f>
        <v>Mass of nitrogen applied to soils for scope 3 emissions</v>
      </c>
    </row>
    <row r="126" spans="1:21" ht="20.100000000000001" customHeight="1" x14ac:dyDescent="0.2">
      <c r="D126" s="17" t="str" cm="1">
        <f t="array" ref="D126">MMS_Poultry_ManureAppliedToSoils_Equations.VEERG_4_6_1_9__2_MassOfNitrogenAppliedToSoilsScope3_Source()</f>
        <v>VEERG 2026: 4.6.1.9, Equation (2)</v>
      </c>
    </row>
    <row r="127" spans="1:21" ht="20.100000000000001" customHeight="1" x14ac:dyDescent="0.2">
      <c r="D127" s="112" t="s">
        <v>328</v>
      </c>
      <c r="E127" s="112" t="str" cm="1">
        <f t="array" aca="1" ref="E127" ca="1">Common_InputFunctions.Utility_DisplayFunctionName(F142)</f>
        <v>=MMS_Poultry_ManureAppliedToSoils_Equations.VEERG_4_6_1_9__2_MassOfNitrogenAppliedToSoilsScope3</v>
      </c>
    </row>
    <row r="128" spans="1:21" ht="20.100000000000001" customHeight="1" x14ac:dyDescent="0.2">
      <c r="A128" s="79" t="str">
        <f>HYPERLINK("#A1", "▲ Back to top")</f>
        <v>▲ Back to top</v>
      </c>
    </row>
    <row r="130" spans="4:20" ht="20.100000000000001" customHeight="1" x14ac:dyDescent="0.2">
      <c r="D130" s="75" t="s">
        <v>329</v>
      </c>
      <c r="E130" s="1" t="str" cm="1">
        <f t="array" ref="E130">MMS_Poultry_ManureAppliedToSoils_Equations.VEERG_4_6_1_9__2_MassOfNitrogenAppliedToSoilsScope3_Variable()</f>
        <v>MNSoil_scope3</v>
      </c>
    </row>
    <row r="131" spans="4:20" ht="20.100000000000001" customHeight="1" x14ac:dyDescent="0.2">
      <c r="D131" s="75" t="s">
        <v>118</v>
      </c>
      <c r="E131" s="9" t="str" cm="1">
        <f t="array" ref="E131">MMS_Poultry_ManureAppliedToSoils_Equations.VEERG_4_6_1_9__2_MassOfNitrogenAppliedToSoilsScope3_Unit()</f>
        <v>kg N</v>
      </c>
    </row>
    <row r="133" spans="4:20" ht="20.100000000000001" customHeight="1" x14ac:dyDescent="0.2">
      <c r="D133" s="113" t="str" cm="1">
        <f t="array" ref="D133:E137">_xlfn.CHOOSECOLS(MMS_Poultry_ManureAppliedToSoils_Equations.VEERG_4_6_1_9__2_MassOfNitrogenAppliedToSoilsScope3_Arguments(),1,2)</f>
        <v>MN_jmT2</v>
      </c>
      <c r="E133" s="122" t="str">
        <v>mass of N in secondary treatment stage as calculated for manure management</v>
      </c>
      <c r="F133" s="123"/>
      <c r="G133" s="113" t="str" cm="1">
        <f t="array" ref="G133:H137">_xlfn.CHOOSECOLS(MMS_Poultry_ManureAppliedToSoils_Equations.VEERG_4_6_1_9__2_MassOfNitrogenAppliedToSoilsScope3_Arguments(),3,4)</f>
        <v>kg N</v>
      </c>
      <c r="H133" s="115" t="str">
        <v>Calculated from 4.6.1.3 (6)</v>
      </c>
      <c r="I133" s="116" t="str" cm="1">
        <f t="array" aca="1" ref="I133" ca="1">HYPERLINK(Common_InputFunctions.Utility_SourceHyperlink($D$19),$D$19)</f>
        <v>M1_Table_MN_j_k_m_T-2</v>
      </c>
    </row>
    <row r="134" spans="4:20" ht="20.100000000000001" customHeight="1" x14ac:dyDescent="0.2">
      <c r="D134" s="113" t="str">
        <v>EF_mT2</v>
      </c>
      <c r="E134" s="122" t="str">
        <v>nitrous oxide emission factor for each MMS</v>
      </c>
      <c r="F134" s="123"/>
      <c r="G134" s="113" t="str">
        <v>kg N2O-N/kg N</v>
      </c>
      <c r="H134" s="115" t="str">
        <v>Constant</v>
      </c>
      <c r="I134" s="116" t="str" cm="1">
        <f t="array" aca="1" ref="I134" ca="1">HYPERLINK(Common_InputFunctions.Utility_SourceHyperlink($D$38),$D$38)</f>
        <v>Table_EF_m</v>
      </c>
    </row>
    <row r="135" spans="4:20" ht="20.100000000000001" customHeight="1" x14ac:dyDescent="0.2">
      <c r="D135" s="113" t="str">
        <v>FracGASM_mT2</v>
      </c>
      <c r="E135" s="122" t="str">
        <v>fraction of animal waste N volatilised in each MMS</v>
      </c>
      <c r="F135" s="123"/>
      <c r="G135" s="113" t="str">
        <v>(kg NH3-N + NOx-N)/kg N</v>
      </c>
      <c r="H135" s="115" t="str">
        <v>Constant</v>
      </c>
      <c r="I135" s="116" t="str" cm="1">
        <f t="array" aca="1" ref="I135" ca="1">HYPERLINK(Common_InputFunctions.Utility_SourceHyperlink($D$51),$D$51)</f>
        <v>Table_FracGASM_m_T</v>
      </c>
    </row>
    <row r="136" spans="4:20" ht="20.100000000000001" customHeight="1" x14ac:dyDescent="0.2">
      <c r="D136" s="113" t="str">
        <v>MNLeach_MMS</v>
      </c>
      <c r="E136" s="122" t="str">
        <v>mass of N lost through leaching and runoff from MMS</v>
      </c>
      <c r="F136" s="123"/>
      <c r="G136" s="113" t="str">
        <v>kg N</v>
      </c>
      <c r="H136" s="115" t="str">
        <v>Calculated from 4.6.1.7 (2)</v>
      </c>
      <c r="I136" s="116" t="str" cm="1">
        <f t="array" aca="1" ref="I136" ca="1">HYPERLINK(Common_InputFunctions.Utility_SourceHyperlink($D$64),$D$64)</f>
        <v>M1_Table_MNLeach_MMS</v>
      </c>
    </row>
    <row r="137" spans="4:20" ht="20.100000000000001" customHeight="1" x14ac:dyDescent="0.2">
      <c r="D137" s="113" t="str">
        <v>PF</v>
      </c>
      <c r="E137" s="122" t="str">
        <v>fraction of manure applied to soil within the farm boundary</v>
      </c>
      <c r="F137" s="123"/>
      <c r="G137" s="113" t="str">
        <v>fraction</v>
      </c>
      <c r="H137" s="114" t="str">
        <v>Input</v>
      </c>
      <c r="I137" s="116" t="str" cm="1">
        <f t="array" aca="1" ref="I137" ca="1">HYPERLINK(Common_InputFunctions.Utility_SourceHyperlink($D$83),$D$83)</f>
        <v>Table_PF</v>
      </c>
    </row>
    <row r="139" spans="4:20" ht="20.100000000000001" customHeight="1" x14ac:dyDescent="0.2">
      <c r="D139" s="118" t="s">
        <v>461</v>
      </c>
      <c r="N139" s="118" t="s">
        <v>462</v>
      </c>
    </row>
    <row r="140" spans="4:20" ht="20.100000000000001" customHeight="1" x14ac:dyDescent="0.2">
      <c r="D140" s="119" t="s">
        <v>463</v>
      </c>
      <c r="N140" s="119" t="s">
        <v>464</v>
      </c>
    </row>
    <row r="141" spans="4:20" ht="20.100000000000001" customHeight="1" x14ac:dyDescent="0.2">
      <c r="D141" s="120" t="s">
        <v>314</v>
      </c>
      <c r="E141" s="120" t="s">
        <v>318</v>
      </c>
      <c r="F141" s="120" t="s">
        <v>297</v>
      </c>
      <c r="G141" s="120" t="s">
        <v>298</v>
      </c>
      <c r="H141" s="120" t="s">
        <v>299</v>
      </c>
      <c r="I141" s="120" t="s">
        <v>300</v>
      </c>
      <c r="N141" s="120" t="s">
        <v>314</v>
      </c>
      <c r="O141" s="120" t="s">
        <v>318</v>
      </c>
      <c r="P141" s="120" t="s">
        <v>297</v>
      </c>
      <c r="Q141" s="120" t="s">
        <v>298</v>
      </c>
      <c r="R141" s="120" t="s">
        <v>299</v>
      </c>
      <c r="S141" s="120" t="s">
        <v>300</v>
      </c>
    </row>
    <row r="142" spans="4:20" ht="20.100000000000001" customHeight="1" x14ac:dyDescent="0.2">
      <c r="D142" s="15" t="str">
        <f>INDEX(X_Table_Poultry_Stage1MMS,2,1)</f>
        <v>Poultry manure with bedding</v>
      </c>
      <c r="E142" s="15" t="str">
        <f>INDEX(X_Table_Poultry_Stage2MMS_PoultryManureWithBedding,2,1)</f>
        <v>Solid storage</v>
      </c>
      <c r="F142" s="15" cm="1">
        <f t="array" ref="F142">MMS_Poultry_ManureAppliedToSoils_Equations.VEERG_4_6_1_9__2_MassOfNitrogenAppliedToSoilsScope3(F22,_xlfn.XLOOKUP($E142, $D$41:$D$49,$E$41:$E$49), _xlfn.XLOOKUP($E142, $D$54:$D$62,$E$54:$E$62), F67,$F86)</f>
        <v>0.13808786940000004</v>
      </c>
      <c r="G142" s="15" cm="1">
        <f t="array" ref="G142">MMS_Poultry_ManureAppliedToSoils_Equations.VEERG_4_6_1_9__2_MassOfNitrogenAppliedToSoilsScope3(G22,_xlfn.XLOOKUP($E142, $D$41:$D$49,$E$41:$E$49), _xlfn.XLOOKUP($E142, $D$54:$D$62,$E$54:$E$62), G67,$F86)</f>
        <v>0.14739297138000002</v>
      </c>
      <c r="H142" s="15" cm="1">
        <f t="array" ref="H142">MMS_Poultry_ManureAppliedToSoils_Equations.VEERG_4_6_1_9__2_MassOfNitrogenAppliedToSoilsScope3(H22,_xlfn.XLOOKUP($E142, $D$41:$D$49,$E$41:$E$49), _xlfn.XLOOKUP($E142, $D$54:$D$62,$E$54:$E$62), H67,$F86)</f>
        <v>0.17301743063999997</v>
      </c>
      <c r="I142" s="15" cm="1">
        <f t="array" ref="I142">MMS_Poultry_ManureAppliedToSoils_Equations.VEERG_4_6_1_9__2_MassOfNitrogenAppliedToSoilsScope3(I22,_xlfn.XLOOKUP($E142, $D$41:$D$49,$E$41:$E$49), _xlfn.XLOOKUP($E142, $D$54:$D$62,$E$54:$E$62), I67,$F86)</f>
        <v>0.14739297138000002</v>
      </c>
      <c r="J142" s="16" t="str">
        <f>$E$131</f>
        <v>kg N</v>
      </c>
      <c r="N142" s="15" t="str">
        <f>INDEX(X_Table_Poultry_Stage1MMS,2,1)</f>
        <v>Poultry manure with bedding</v>
      </c>
      <c r="O142" s="15" t="str">
        <f>INDEX(X_Table_Poultry_Stage2MMS_PoultryManureWithBedding,2,1)</f>
        <v>Solid storage</v>
      </c>
      <c r="P142" s="15" cm="1">
        <f t="array" ref="P142">MMS_Poultry_ManureAppliedToSoils_Equations.VEERG_4_6_1_9__2_MassOfNitrogenAppliedToSoilsScope3(P22,_xlfn.XLOOKUP($O142, $D$41:$D$49,$E$41:$E$49), _xlfn.XLOOKUP($O142, $D$54:$D$62,$E$54:$E$62), P67,$F86)</f>
        <v>0.13808786940000004</v>
      </c>
      <c r="Q142" s="15" cm="1">
        <f t="array" ref="Q142">MMS_Poultry_ManureAppliedToSoils_Equations.VEERG_4_6_1_9__2_MassOfNitrogenAppliedToSoilsScope3(Q22,_xlfn.XLOOKUP($O142, $D$41:$D$49,$E$41:$E$49), _xlfn.XLOOKUP($O142, $D$54:$D$62,$E$54:$E$62), Q67,$F86)</f>
        <v>0.14739297138000002</v>
      </c>
      <c r="R142" s="15" cm="1">
        <f t="array" ref="R142">MMS_Poultry_ManureAppliedToSoils_Equations.VEERG_4_6_1_9__2_MassOfNitrogenAppliedToSoilsScope3(R22,_xlfn.XLOOKUP($O142, $D$41:$D$49,$E$41:$E$49), _xlfn.XLOOKUP($O142, $D$54:$D$62,$E$54:$E$62), R67,$F86)</f>
        <v>0.17301743063999997</v>
      </c>
      <c r="S142" s="15" cm="1">
        <f t="array" ref="S142">MMS_Poultry_ManureAppliedToSoils_Equations.VEERG_4_6_1_9__2_MassOfNitrogenAppliedToSoilsScope3(S22,_xlfn.XLOOKUP($O142, $D$41:$D$49,$E$41:$E$49), _xlfn.XLOOKUP($O142, $D$54:$D$62,$E$54:$E$62), S67,$F86)</f>
        <v>0.14739297138000002</v>
      </c>
      <c r="T142" s="16" t="str">
        <f>$E$131</f>
        <v>kg N</v>
      </c>
    </row>
    <row r="143" spans="4:20" ht="20.100000000000001" customHeight="1" x14ac:dyDescent="0.2">
      <c r="D143" s="15"/>
      <c r="E143" s="15" t="str">
        <f>INDEX(X_Table_Poultry_Stage2MMS_PoultryManureWithBedding,3,1)</f>
        <v>Composting (passive windrow)</v>
      </c>
      <c r="F143" s="15" cm="1">
        <f t="array" ref="F143">MMS_Poultry_ManureAppliedToSoils_Equations.VEERG_4_6_1_9__2_MassOfNitrogenAppliedToSoilsScope3(F23,_xlfn.XLOOKUP($E143, $D$41:$D$49,$E$41:$E$49), _xlfn.XLOOKUP($E143, $D$54:$D$62,$E$54:$E$62), F68,$F87)</f>
        <v>0.14076053784000003</v>
      </c>
      <c r="G143" s="15" cm="1">
        <f t="array" ref="G143">MMS_Poultry_ManureAppliedToSoils_Equations.VEERG_4_6_1_9__2_MassOfNitrogenAppliedToSoilsScope3(G23,_xlfn.XLOOKUP($E143, $D$41:$D$49,$E$41:$E$49), _xlfn.XLOOKUP($E143, $D$54:$D$62,$E$54:$E$62), G68,$F87)</f>
        <v>0.150245738568</v>
      </c>
      <c r="H143" s="15" cm="1">
        <f t="array" ref="H143">MMS_Poultry_ManureAppliedToSoils_Equations.VEERG_4_6_1_9__2_MassOfNitrogenAppliedToSoilsScope3(H23,_xlfn.XLOOKUP($E143, $D$41:$D$49,$E$41:$E$49), _xlfn.XLOOKUP($E143, $D$54:$D$62,$E$54:$E$62), H68,$F87)</f>
        <v>0.176366155104</v>
      </c>
      <c r="I143" s="15" cm="1">
        <f t="array" ref="I143">MMS_Poultry_ManureAppliedToSoils_Equations.VEERG_4_6_1_9__2_MassOfNitrogenAppliedToSoilsScope3(I23,_xlfn.XLOOKUP($E143, $D$41:$D$49,$E$41:$E$49), _xlfn.XLOOKUP($E143, $D$54:$D$62,$E$54:$E$62), I68,$F87)</f>
        <v>0.150245738568</v>
      </c>
      <c r="J143" s="16"/>
      <c r="N143" s="15"/>
      <c r="O143" s="15" t="str">
        <f>INDEX(X_Table_Poultry_Stage2MMS_PoultryManureWithBedding,3,1)</f>
        <v>Composting (passive windrow)</v>
      </c>
      <c r="P143" s="15" cm="1">
        <f t="array" ref="P143">MMS_Poultry_ManureAppliedToSoils_Equations.VEERG_4_6_1_9__2_MassOfNitrogenAppliedToSoilsScope3(P23,_xlfn.XLOOKUP($O143, $D$41:$D$49,$E$41:$E$49), _xlfn.XLOOKUP($O143, $D$54:$D$62,$E$54:$E$62), P68,$F87)</f>
        <v>0.14076053784000003</v>
      </c>
      <c r="Q143" s="15" cm="1">
        <f t="array" ref="Q143">MMS_Poultry_ManureAppliedToSoils_Equations.VEERG_4_6_1_9__2_MassOfNitrogenAppliedToSoilsScope3(Q23,_xlfn.XLOOKUP($O143, $D$41:$D$49,$E$41:$E$49), _xlfn.XLOOKUP($O143, $D$54:$D$62,$E$54:$E$62), Q68,$F87)</f>
        <v>0.150245738568</v>
      </c>
      <c r="R143" s="15" cm="1">
        <f t="array" ref="R143">MMS_Poultry_ManureAppliedToSoils_Equations.VEERG_4_6_1_9__2_MassOfNitrogenAppliedToSoilsScope3(R23,_xlfn.XLOOKUP($O143, $D$41:$D$49,$E$41:$E$49), _xlfn.XLOOKUP($O143, $D$54:$D$62,$E$54:$E$62), R68,$F87)</f>
        <v>0.176366155104</v>
      </c>
      <c r="S143" s="15" cm="1">
        <f t="array" ref="S143">MMS_Poultry_ManureAppliedToSoils_Equations.VEERG_4_6_1_9__2_MassOfNitrogenAppliedToSoilsScope3(S23,_xlfn.XLOOKUP($O143, $D$41:$D$49,$E$41:$E$49), _xlfn.XLOOKUP($O143, $D$54:$D$62,$E$54:$E$62), S68,$F87)</f>
        <v>0.150245738568</v>
      </c>
      <c r="T143" s="16"/>
    </row>
    <row r="144" spans="4:20" ht="20.100000000000001" customHeight="1" x14ac:dyDescent="0.2">
      <c r="D144" s="15"/>
      <c r="E144" s="15" t="str">
        <f>INDEX(X_Table_Poultry_Stage2MMS_PoultryManureWithBedding,4,1)</f>
        <v>Digester / covered lagoons</v>
      </c>
      <c r="F144" s="15" cm="1">
        <f t="array" ref="F144">MMS_Poultry_ManureAppliedToSoils_Equations.VEERG_4_6_1_9__2_MassOfNitrogenAppliedToSoilsScope3(F24,_xlfn.XLOOKUP($E144, $D$41:$D$49,$E$41:$E$49), _xlfn.XLOOKUP($E144, $D$54:$D$62,$E$54:$E$62), F69,$F88)</f>
        <v>0.17817789600000003</v>
      </c>
      <c r="G144" s="15" cm="1">
        <f t="array" ref="G144">MMS_Poultry_ManureAppliedToSoils_Equations.VEERG_4_6_1_9__2_MassOfNitrogenAppliedToSoilsScope3(G24,_xlfn.XLOOKUP($E144, $D$41:$D$49,$E$41:$E$49), _xlfn.XLOOKUP($E144, $D$54:$D$62,$E$54:$E$62), G69,$F88)</f>
        <v>0.19018447920000001</v>
      </c>
      <c r="H144" s="15" cm="1">
        <f t="array" ref="H144">MMS_Poultry_ManureAppliedToSoils_Equations.VEERG_4_6_1_9__2_MassOfNitrogenAppliedToSoilsScope3(H24,_xlfn.XLOOKUP($E144, $D$41:$D$49,$E$41:$E$49), _xlfn.XLOOKUP($E144, $D$54:$D$62,$E$54:$E$62), H69,$F88)</f>
        <v>0.22324829759999998</v>
      </c>
      <c r="I144" s="15" cm="1">
        <f t="array" ref="I144">MMS_Poultry_ManureAppliedToSoils_Equations.VEERG_4_6_1_9__2_MassOfNitrogenAppliedToSoilsScope3(I24,_xlfn.XLOOKUP($E144, $D$41:$D$49,$E$41:$E$49), _xlfn.XLOOKUP($E144, $D$54:$D$62,$E$54:$E$62), I69,$F88)</f>
        <v>0.19018447920000001</v>
      </c>
      <c r="J144" s="16"/>
      <c r="N144" s="15"/>
      <c r="O144" s="15" t="str">
        <f>INDEX(X_Table_Poultry_Stage2MMS_PoultryManureWithBedding,4,1)</f>
        <v>Digester / covered lagoons</v>
      </c>
      <c r="P144" s="15" cm="1">
        <f t="array" ref="P144">MMS_Poultry_ManureAppliedToSoils_Equations.VEERG_4_6_1_9__2_MassOfNitrogenAppliedToSoilsScope3(P24,_xlfn.XLOOKUP($O144, $D$41:$D$49,$E$41:$E$49), _xlfn.XLOOKUP($O144, $D$54:$D$62,$E$54:$E$62), P69,$F88)</f>
        <v>0.17817789600000003</v>
      </c>
      <c r="Q144" s="15" cm="1">
        <f t="array" ref="Q144">MMS_Poultry_ManureAppliedToSoils_Equations.VEERG_4_6_1_9__2_MassOfNitrogenAppliedToSoilsScope3(Q24,_xlfn.XLOOKUP($O144, $D$41:$D$49,$E$41:$E$49), _xlfn.XLOOKUP($O144, $D$54:$D$62,$E$54:$E$62), Q69,$F88)</f>
        <v>0.19018447920000001</v>
      </c>
      <c r="R144" s="15" cm="1">
        <f t="array" ref="R144">MMS_Poultry_ManureAppliedToSoils_Equations.VEERG_4_6_1_9__2_MassOfNitrogenAppliedToSoilsScope3(R24,_xlfn.XLOOKUP($O144, $D$41:$D$49,$E$41:$E$49), _xlfn.XLOOKUP($O144, $D$54:$D$62,$E$54:$E$62), R69,$F88)</f>
        <v>0.22324829759999998</v>
      </c>
      <c r="S144" s="15" cm="1">
        <f t="array" ref="S144">MMS_Poultry_ManureAppliedToSoils_Equations.VEERG_4_6_1_9__2_MassOfNitrogenAppliedToSoilsScope3(S24,_xlfn.XLOOKUP($O144, $D$41:$D$49,$E$41:$E$49), _xlfn.XLOOKUP($O144, $D$54:$D$62,$E$54:$E$62), S69,$F88)</f>
        <v>0.19018447920000001</v>
      </c>
      <c r="T144" s="16"/>
    </row>
    <row r="145" spans="1:20" ht="20.100000000000001" customHeight="1" x14ac:dyDescent="0.2">
      <c r="D145" s="15"/>
      <c r="E145" s="15" t="str">
        <f>INDEX(X_Table_Poultry_Stage2MMS_PoultryManureWithBedding,5,1)</f>
        <v>Direct processing</v>
      </c>
      <c r="F145" s="15" cm="1">
        <f t="array" ref="F145">MMS_Poultry_ManureAppliedToSoils_Equations.VEERG_4_6_1_9__2_MassOfNitrogenAppliedToSoilsScope3(F25,_xlfn.XLOOKUP($E145, $D$41:$D$49,$E$41:$E$49), _xlfn.XLOOKUP($E145, $D$54:$D$62,$E$54:$E$62), F70,$F89)</f>
        <v>0.17817789600000003</v>
      </c>
      <c r="G145" s="15" cm="1">
        <f t="array" ref="G145">MMS_Poultry_ManureAppliedToSoils_Equations.VEERG_4_6_1_9__2_MassOfNitrogenAppliedToSoilsScope3(G25,_xlfn.XLOOKUP($E145, $D$41:$D$49,$E$41:$E$49), _xlfn.XLOOKUP($E145, $D$54:$D$62,$E$54:$E$62), G70,$F89)</f>
        <v>0.19018447920000001</v>
      </c>
      <c r="H145" s="15" cm="1">
        <f t="array" ref="H145">MMS_Poultry_ManureAppliedToSoils_Equations.VEERG_4_6_1_9__2_MassOfNitrogenAppliedToSoilsScope3(H25,_xlfn.XLOOKUP($E145, $D$41:$D$49,$E$41:$E$49), _xlfn.XLOOKUP($E145, $D$54:$D$62,$E$54:$E$62), H70,$F89)</f>
        <v>0.22324829759999998</v>
      </c>
      <c r="I145" s="15" cm="1">
        <f t="array" ref="I145">MMS_Poultry_ManureAppliedToSoils_Equations.VEERG_4_6_1_9__2_MassOfNitrogenAppliedToSoilsScope3(I25,_xlfn.XLOOKUP($E145, $D$41:$D$49,$E$41:$E$49), _xlfn.XLOOKUP($E145, $D$54:$D$62,$E$54:$E$62), I70,$F89)</f>
        <v>0.19018447920000001</v>
      </c>
      <c r="J145" s="16"/>
      <c r="N145" s="15"/>
      <c r="O145" s="15" t="str">
        <f>INDEX(X_Table_Poultry_Stage2MMS_PoultryManureWithBedding,5,1)</f>
        <v>Direct processing</v>
      </c>
      <c r="P145" s="15" cm="1">
        <f t="array" ref="P145">MMS_Poultry_ManureAppliedToSoils_Equations.VEERG_4_6_1_9__2_MassOfNitrogenAppliedToSoilsScope3(P25,_xlfn.XLOOKUP($O145, $D$41:$D$49,$E$41:$E$49), _xlfn.XLOOKUP($O145, $D$54:$D$62,$E$54:$E$62), P70,$F89)</f>
        <v>0.17817789600000003</v>
      </c>
      <c r="Q145" s="15" cm="1">
        <f t="array" ref="Q145">MMS_Poultry_ManureAppliedToSoils_Equations.VEERG_4_6_1_9__2_MassOfNitrogenAppliedToSoilsScope3(Q25,_xlfn.XLOOKUP($O145, $D$41:$D$49,$E$41:$E$49), _xlfn.XLOOKUP($O145, $D$54:$D$62,$E$54:$E$62), Q70,$F89)</f>
        <v>0.19018447920000001</v>
      </c>
      <c r="R145" s="15" cm="1">
        <f t="array" ref="R145">MMS_Poultry_ManureAppliedToSoils_Equations.VEERG_4_6_1_9__2_MassOfNitrogenAppliedToSoilsScope3(R25,_xlfn.XLOOKUP($O145, $D$41:$D$49,$E$41:$E$49), _xlfn.XLOOKUP($O145, $D$54:$D$62,$E$54:$E$62), R70,$F89)</f>
        <v>0.22324829759999998</v>
      </c>
      <c r="S145" s="15" cm="1">
        <f t="array" ref="S145">MMS_Poultry_ManureAppliedToSoils_Equations.VEERG_4_6_1_9__2_MassOfNitrogenAppliedToSoilsScope3(S25,_xlfn.XLOOKUP($O145, $D$41:$D$49,$E$41:$E$49), _xlfn.XLOOKUP($O145, $D$54:$D$62,$E$54:$E$62), S70,$F89)</f>
        <v>0.19018447920000001</v>
      </c>
      <c r="T145" s="16"/>
    </row>
    <row r="146" spans="1:20" ht="20.100000000000001" customHeight="1" x14ac:dyDescent="0.2">
      <c r="D146" s="15"/>
      <c r="E146" s="15" t="str">
        <f>INDEX(X_Table_Poultry_Stage2MMS_PoultryManureWithBedding,6,1)</f>
        <v>Direct application</v>
      </c>
      <c r="F146" s="15" cm="1">
        <f t="array" ref="F146">MMS_Poultry_ManureAppliedToSoils_Equations.VEERG_4_6_1_9__2_MassOfNitrogenAppliedToSoilsScope3(F26,_xlfn.XLOOKUP($E146, $D$41:$D$49,$E$41:$E$49), _xlfn.XLOOKUP($E146, $D$54:$D$62,$E$54:$E$62), F71,$F90)</f>
        <v>0</v>
      </c>
      <c r="G146" s="15" cm="1">
        <f t="array" ref="G146">MMS_Poultry_ManureAppliedToSoils_Equations.VEERG_4_6_1_9__2_MassOfNitrogenAppliedToSoilsScope3(G26,_xlfn.XLOOKUP($E146, $D$41:$D$49,$E$41:$E$49), _xlfn.XLOOKUP($E146, $D$54:$D$62,$E$54:$E$62), G71,$F90)</f>
        <v>0</v>
      </c>
      <c r="H146" s="15" cm="1">
        <f t="array" ref="H146">MMS_Poultry_ManureAppliedToSoils_Equations.VEERG_4_6_1_9__2_MassOfNitrogenAppliedToSoilsScope3(H26,_xlfn.XLOOKUP($E146, $D$41:$D$49,$E$41:$E$49), _xlfn.XLOOKUP($E146, $D$54:$D$62,$E$54:$E$62), H71,$F90)</f>
        <v>0</v>
      </c>
      <c r="I146" s="15" cm="1">
        <f t="array" ref="I146">MMS_Poultry_ManureAppliedToSoils_Equations.VEERG_4_6_1_9__2_MassOfNitrogenAppliedToSoilsScope3(I26,_xlfn.XLOOKUP($E146, $D$41:$D$49,$E$41:$E$49), _xlfn.XLOOKUP($E146, $D$54:$D$62,$E$54:$E$62), I71,$F90)</f>
        <v>0</v>
      </c>
      <c r="N146" s="15"/>
      <c r="O146" s="15" t="str">
        <f>INDEX(X_Table_Poultry_Stage2MMS_PoultryManureWithBedding,6,1)</f>
        <v>Direct application</v>
      </c>
      <c r="P146" s="15" cm="1">
        <f t="array" ref="P146">MMS_Poultry_ManureAppliedToSoils_Equations.VEERG_4_6_1_9__2_MassOfNitrogenAppliedToSoilsScope3(P26,_xlfn.XLOOKUP($O146, $D$41:$D$49,$E$41:$E$49), _xlfn.XLOOKUP($O146, $D$54:$D$62,$E$54:$E$62), P71,$F90)</f>
        <v>0</v>
      </c>
      <c r="Q146" s="15" cm="1">
        <f t="array" ref="Q146">MMS_Poultry_ManureAppliedToSoils_Equations.VEERG_4_6_1_9__2_MassOfNitrogenAppliedToSoilsScope3(Q26,_xlfn.XLOOKUP($O146, $D$41:$D$49,$E$41:$E$49), _xlfn.XLOOKUP($O146, $D$54:$D$62,$E$54:$E$62), Q71,$F90)</f>
        <v>0</v>
      </c>
      <c r="R146" s="15" cm="1">
        <f t="array" ref="R146">MMS_Poultry_ManureAppliedToSoils_Equations.VEERG_4_6_1_9__2_MassOfNitrogenAppliedToSoilsScope3(R26,_xlfn.XLOOKUP($O146, $D$41:$D$49,$E$41:$E$49), _xlfn.XLOOKUP($O146, $D$54:$D$62,$E$54:$E$62), R71,$F90)</f>
        <v>0</v>
      </c>
      <c r="S146" s="15" cm="1">
        <f t="array" ref="S146">MMS_Poultry_ManureAppliedToSoils_Equations.VEERG_4_6_1_9__2_MassOfNitrogenAppliedToSoilsScope3(S26,_xlfn.XLOOKUP($O146, $D$41:$D$49,$E$41:$E$49), _xlfn.XLOOKUP($O146, $D$54:$D$62,$E$54:$E$62), S71,$F90)</f>
        <v>0</v>
      </c>
    </row>
    <row r="147" spans="1:20" ht="20.100000000000001" customHeight="1" x14ac:dyDescent="0.2">
      <c r="D147" s="15" t="str">
        <f>INDEX(X_Table_Poultry_Stage1MMS,3,1)</f>
        <v>Belt manure removal</v>
      </c>
      <c r="E147" s="15" t="str">
        <f>INDEX(X_Table_Poultry_Stage2MMS_BeltManureRemoval,2,1)</f>
        <v>Solid storage</v>
      </c>
      <c r="F147" s="15" cm="1">
        <f t="array" ref="F147">MMS_Poultry_ManureAppliedToSoils_Equations.VEERG_4_6_1_9__2_MassOfNitrogenAppliedToSoilsScope3(F27,_xlfn.XLOOKUP($E147, $D$41:$D$49,$E$41:$E$49), _xlfn.XLOOKUP($E147, $D$54:$D$62,$E$54:$E$62), F72,$F91)</f>
        <v>0.18747551940000004</v>
      </c>
      <c r="G147" s="15" cm="1">
        <f t="array" ref="G147">MMS_Poultry_ManureAppliedToSoils_Equations.VEERG_4_6_1_9__2_MassOfNitrogenAppliedToSoilsScope3(G27,_xlfn.XLOOKUP($E147, $D$41:$D$49,$E$41:$E$49), _xlfn.XLOOKUP($E147, $D$54:$D$62,$E$54:$E$62), G72,$F91)</f>
        <v>0.20010862637999999</v>
      </c>
      <c r="H147" s="15" cm="1">
        <f t="array" ref="H147">MMS_Poultry_ManureAppliedToSoils_Equations.VEERG_4_6_1_9__2_MassOfNitrogenAppliedToSoilsScope3(H27,_xlfn.XLOOKUP($E147, $D$41:$D$49,$E$41:$E$49), _xlfn.XLOOKUP($E147, $D$54:$D$62,$E$54:$E$62), H72,$F91)</f>
        <v>0.23489777063999998</v>
      </c>
      <c r="I147" s="15" cm="1">
        <f t="array" ref="I147">MMS_Poultry_ManureAppliedToSoils_Equations.VEERG_4_6_1_9__2_MassOfNitrogenAppliedToSoilsScope3(I27,_xlfn.XLOOKUP($E147, $D$41:$D$49,$E$41:$E$49), _xlfn.XLOOKUP($E147, $D$54:$D$62,$E$54:$E$62), I72,$F91)</f>
        <v>0.20010862637999999</v>
      </c>
      <c r="J147" s="16"/>
      <c r="N147" s="15" t="str">
        <f>INDEX(X_Table_Poultry_Stage1MMS,3,1)</f>
        <v>Belt manure removal</v>
      </c>
      <c r="O147" s="15" t="str">
        <f>INDEX(X_Table_Poultry_Stage2MMS_BeltManureRemoval,2,1)</f>
        <v>Solid storage</v>
      </c>
      <c r="P147" s="15" cm="1">
        <f t="array" ref="P147">MMS_Poultry_ManureAppliedToSoils_Equations.VEERG_4_6_1_9__2_MassOfNitrogenAppliedToSoilsScope3(P27,_xlfn.XLOOKUP($O147, $D$41:$D$49,$E$41:$E$49), _xlfn.XLOOKUP($O147, $D$54:$D$62,$E$54:$E$62), P72,$F91)</f>
        <v>0.18747551940000004</v>
      </c>
      <c r="Q147" s="15" cm="1">
        <f t="array" ref="Q147">MMS_Poultry_ManureAppliedToSoils_Equations.VEERG_4_6_1_9__2_MassOfNitrogenAppliedToSoilsScope3(Q27,_xlfn.XLOOKUP($O147, $D$41:$D$49,$E$41:$E$49), _xlfn.XLOOKUP($O147, $D$54:$D$62,$E$54:$E$62), Q72,$F91)</f>
        <v>0.20010862637999999</v>
      </c>
      <c r="R147" s="15" cm="1">
        <f t="array" ref="R147">MMS_Poultry_ManureAppliedToSoils_Equations.VEERG_4_6_1_9__2_MassOfNitrogenAppliedToSoilsScope3(R27,_xlfn.XLOOKUP($O147, $D$41:$D$49,$E$41:$E$49), _xlfn.XLOOKUP($O147, $D$54:$D$62,$E$54:$E$62), R72,$F91)</f>
        <v>0.23489777063999998</v>
      </c>
      <c r="S147" s="15" cm="1">
        <f t="array" ref="S147">MMS_Poultry_ManureAppliedToSoils_Equations.VEERG_4_6_1_9__2_MassOfNitrogenAppliedToSoilsScope3(S27,_xlfn.XLOOKUP($O147, $D$41:$D$49,$E$41:$E$49), _xlfn.XLOOKUP($O147, $D$54:$D$62,$E$54:$E$62), S72,$F91)</f>
        <v>0.20010862637999999</v>
      </c>
      <c r="T147" s="16"/>
    </row>
    <row r="148" spans="1:20" ht="20.100000000000001" customHeight="1" x14ac:dyDescent="0.2">
      <c r="D148" s="15"/>
      <c r="E148" s="15" t="str">
        <f>INDEX(X_Table_Poultry_Stage2MMS_BeltManureRemoval,3,1)</f>
        <v>Composting (passive windrow)</v>
      </c>
      <c r="F148" s="15" cm="1">
        <f t="array" ref="F148">MMS_Poultry_ManureAppliedToSoils_Equations.VEERG_4_6_1_9__2_MassOfNitrogenAppliedToSoilsScope3(F28,_xlfn.XLOOKUP($E148, $D$41:$D$49,$E$41:$E$49), _xlfn.XLOOKUP($E148, $D$54:$D$62,$E$54:$E$62), F73,$F92)</f>
        <v>0.19110407784000005</v>
      </c>
      <c r="G148" s="15" cm="1">
        <f t="array" ref="G148">MMS_Poultry_ManureAppliedToSoils_Equations.VEERG_4_6_1_9__2_MassOfNitrogenAppliedToSoilsScope3(G28,_xlfn.XLOOKUP($E148, $D$41:$D$49,$E$41:$E$49), _xlfn.XLOOKUP($E148, $D$54:$D$62,$E$54:$E$62), G73,$F92)</f>
        <v>0.20398169656800003</v>
      </c>
      <c r="H148" s="15" cm="1">
        <f t="array" ref="H148">MMS_Poultry_ManureAppliedToSoils_Equations.VEERG_4_6_1_9__2_MassOfNitrogenAppliedToSoilsScope3(H28,_xlfn.XLOOKUP($E148, $D$41:$D$49,$E$41:$E$49), _xlfn.XLOOKUP($E148, $D$54:$D$62,$E$54:$E$62), H73,$F92)</f>
        <v>0.23944417910400001</v>
      </c>
      <c r="I148" s="15" cm="1">
        <f t="array" ref="I148">MMS_Poultry_ManureAppliedToSoils_Equations.VEERG_4_6_1_9__2_MassOfNitrogenAppliedToSoilsScope3(I28,_xlfn.XLOOKUP($E148, $D$41:$D$49,$E$41:$E$49), _xlfn.XLOOKUP($E148, $D$54:$D$62,$E$54:$E$62), I73,$F92)</f>
        <v>0.20398169656800003</v>
      </c>
      <c r="J148" s="16"/>
      <c r="N148" s="15"/>
      <c r="O148" s="15" t="str">
        <f>INDEX(X_Table_Poultry_Stage2MMS_BeltManureRemoval,3,1)</f>
        <v>Composting (passive windrow)</v>
      </c>
      <c r="P148" s="15" cm="1">
        <f t="array" ref="P148">MMS_Poultry_ManureAppliedToSoils_Equations.VEERG_4_6_1_9__2_MassOfNitrogenAppliedToSoilsScope3(P28,_xlfn.XLOOKUP($O148, $D$41:$D$49,$E$41:$E$49), _xlfn.XLOOKUP($O148, $D$54:$D$62,$E$54:$E$62), P73,$F92)</f>
        <v>0.19110407784000005</v>
      </c>
      <c r="Q148" s="15" cm="1">
        <f t="array" ref="Q148">MMS_Poultry_ManureAppliedToSoils_Equations.VEERG_4_6_1_9__2_MassOfNitrogenAppliedToSoilsScope3(Q28,_xlfn.XLOOKUP($O148, $D$41:$D$49,$E$41:$E$49), _xlfn.XLOOKUP($O148, $D$54:$D$62,$E$54:$E$62), Q73,$F92)</f>
        <v>0.20398169656800003</v>
      </c>
      <c r="R148" s="15" cm="1">
        <f t="array" ref="R148">MMS_Poultry_ManureAppliedToSoils_Equations.VEERG_4_6_1_9__2_MassOfNitrogenAppliedToSoilsScope3(R28,_xlfn.XLOOKUP($O148, $D$41:$D$49,$E$41:$E$49), _xlfn.XLOOKUP($O148, $D$54:$D$62,$E$54:$E$62), R73,$F92)</f>
        <v>0.23944417910400001</v>
      </c>
      <c r="S148" s="15" cm="1">
        <f t="array" ref="S148">MMS_Poultry_ManureAppliedToSoils_Equations.VEERG_4_6_1_9__2_MassOfNitrogenAppliedToSoilsScope3(S28,_xlfn.XLOOKUP($O148, $D$41:$D$49,$E$41:$E$49), _xlfn.XLOOKUP($O148, $D$54:$D$62,$E$54:$E$62), S73,$F92)</f>
        <v>0.20398169656800003</v>
      </c>
      <c r="T148" s="16"/>
    </row>
    <row r="149" spans="1:20" ht="20.100000000000001" customHeight="1" x14ac:dyDescent="0.2">
      <c r="D149" s="15"/>
      <c r="E149" s="15" t="str">
        <f>INDEX(X_Table_Poultry_Stage2MMS_BeltManureRemoval,4,1)</f>
        <v>Digester / covered lagoons</v>
      </c>
      <c r="F149" s="15" cm="1">
        <f t="array" ref="F149">MMS_Poultry_ManureAppliedToSoils_Equations.VEERG_4_6_1_9__2_MassOfNitrogenAppliedToSoilsScope3(F29,_xlfn.XLOOKUP($E149, $D$41:$D$49,$E$41:$E$49), _xlfn.XLOOKUP($E149, $D$54:$D$62,$E$54:$E$62), F74,$F93)</f>
        <v>0.24190389600000006</v>
      </c>
      <c r="G149" s="15" cm="1">
        <f t="array" ref="G149">MMS_Poultry_ManureAppliedToSoils_Equations.VEERG_4_6_1_9__2_MassOfNitrogenAppliedToSoilsScope3(G29,_xlfn.XLOOKUP($E149, $D$41:$D$49,$E$41:$E$49), _xlfn.XLOOKUP($E149, $D$54:$D$62,$E$54:$E$62), G74,$F93)</f>
        <v>0.25820467920000001</v>
      </c>
      <c r="H149" s="15" cm="1">
        <f t="array" ref="H149">MMS_Poultry_ManureAppliedToSoils_Equations.VEERG_4_6_1_9__2_MassOfNitrogenAppliedToSoilsScope3(H29,_xlfn.XLOOKUP($E149, $D$41:$D$49,$E$41:$E$49), _xlfn.XLOOKUP($E149, $D$54:$D$62,$E$54:$E$62), H74,$F93)</f>
        <v>0.3030938976</v>
      </c>
      <c r="I149" s="15" cm="1">
        <f t="array" ref="I149">MMS_Poultry_ManureAppliedToSoils_Equations.VEERG_4_6_1_9__2_MassOfNitrogenAppliedToSoilsScope3(I29,_xlfn.XLOOKUP($E149, $D$41:$D$49,$E$41:$E$49), _xlfn.XLOOKUP($E149, $D$54:$D$62,$E$54:$E$62), I74,$F93)</f>
        <v>0.25820467920000001</v>
      </c>
      <c r="J149" s="16"/>
      <c r="N149" s="15"/>
      <c r="O149" s="15" t="str">
        <f>INDEX(X_Table_Poultry_Stage2MMS_BeltManureRemoval,4,1)</f>
        <v>Digester / covered lagoons</v>
      </c>
      <c r="P149" s="15" cm="1">
        <f t="array" ref="P149">MMS_Poultry_ManureAppliedToSoils_Equations.VEERG_4_6_1_9__2_MassOfNitrogenAppliedToSoilsScope3(P29,_xlfn.XLOOKUP($O149, $D$41:$D$49,$E$41:$E$49), _xlfn.XLOOKUP($O149, $D$54:$D$62,$E$54:$E$62), P74,$F93)</f>
        <v>0.24190389600000006</v>
      </c>
      <c r="Q149" s="15" cm="1">
        <f t="array" ref="Q149">MMS_Poultry_ManureAppliedToSoils_Equations.VEERG_4_6_1_9__2_MassOfNitrogenAppliedToSoilsScope3(Q29,_xlfn.XLOOKUP($O149, $D$41:$D$49,$E$41:$E$49), _xlfn.XLOOKUP($O149, $D$54:$D$62,$E$54:$E$62), Q74,$F93)</f>
        <v>0.25820467920000001</v>
      </c>
      <c r="R149" s="15" cm="1">
        <f t="array" ref="R149">MMS_Poultry_ManureAppliedToSoils_Equations.VEERG_4_6_1_9__2_MassOfNitrogenAppliedToSoilsScope3(R29,_xlfn.XLOOKUP($O149, $D$41:$D$49,$E$41:$E$49), _xlfn.XLOOKUP($O149, $D$54:$D$62,$E$54:$E$62), R74,$F93)</f>
        <v>0.3030938976</v>
      </c>
      <c r="S149" s="15" cm="1">
        <f t="array" ref="S149">MMS_Poultry_ManureAppliedToSoils_Equations.VEERG_4_6_1_9__2_MassOfNitrogenAppliedToSoilsScope3(S29,_xlfn.XLOOKUP($O149, $D$41:$D$49,$E$41:$E$49), _xlfn.XLOOKUP($O149, $D$54:$D$62,$E$54:$E$62), S74,$F93)</f>
        <v>0.25820467920000001</v>
      </c>
      <c r="T149" s="16"/>
    </row>
    <row r="150" spans="1:20" ht="20.100000000000001" customHeight="1" x14ac:dyDescent="0.2">
      <c r="D150" s="15"/>
      <c r="E150" s="15" t="str">
        <f>INDEX(X_Table_Poultry_Stage2MMS_BeltManureRemoval,5,1)</f>
        <v>Direct processing</v>
      </c>
      <c r="F150" s="15" cm="1">
        <f t="array" ref="F150">MMS_Poultry_ManureAppliedToSoils_Equations.VEERG_4_6_1_9__2_MassOfNitrogenAppliedToSoilsScope3(F30,_xlfn.XLOOKUP($E150, $D$41:$D$49,$E$41:$E$49), _xlfn.XLOOKUP($E150, $D$54:$D$62,$E$54:$E$62), F75,$F94)</f>
        <v>0.24190389600000006</v>
      </c>
      <c r="G150" s="15" cm="1">
        <f t="array" ref="G150">MMS_Poultry_ManureAppliedToSoils_Equations.VEERG_4_6_1_9__2_MassOfNitrogenAppliedToSoilsScope3(G30,_xlfn.XLOOKUP($E150, $D$41:$D$49,$E$41:$E$49), _xlfn.XLOOKUP($E150, $D$54:$D$62,$E$54:$E$62), G75,$F94)</f>
        <v>0.25820467920000001</v>
      </c>
      <c r="H150" s="15" cm="1">
        <f t="array" ref="H150">MMS_Poultry_ManureAppliedToSoils_Equations.VEERG_4_6_1_9__2_MassOfNitrogenAppliedToSoilsScope3(H30,_xlfn.XLOOKUP($E150, $D$41:$D$49,$E$41:$E$49), _xlfn.XLOOKUP($E150, $D$54:$D$62,$E$54:$E$62), H75,$F94)</f>
        <v>0.3030938976</v>
      </c>
      <c r="I150" s="15" cm="1">
        <f t="array" ref="I150">MMS_Poultry_ManureAppliedToSoils_Equations.VEERG_4_6_1_9__2_MassOfNitrogenAppliedToSoilsScope3(I30,_xlfn.XLOOKUP($E150, $D$41:$D$49,$E$41:$E$49), _xlfn.XLOOKUP($E150, $D$54:$D$62,$E$54:$E$62), I75,$F94)</f>
        <v>0.25820467920000001</v>
      </c>
      <c r="J150" s="16"/>
      <c r="N150" s="15"/>
      <c r="O150" s="15" t="str">
        <f>INDEX(X_Table_Poultry_Stage2MMS_BeltManureRemoval,5,1)</f>
        <v>Direct processing</v>
      </c>
      <c r="P150" s="15" cm="1">
        <f t="array" ref="P150">MMS_Poultry_ManureAppliedToSoils_Equations.VEERG_4_6_1_9__2_MassOfNitrogenAppliedToSoilsScope3(P30,_xlfn.XLOOKUP($O150, $D$41:$D$49,$E$41:$E$49), _xlfn.XLOOKUP($O150, $D$54:$D$62,$E$54:$E$62), P75,$F94)</f>
        <v>0.24190389600000006</v>
      </c>
      <c r="Q150" s="15" cm="1">
        <f t="array" ref="Q150">MMS_Poultry_ManureAppliedToSoils_Equations.VEERG_4_6_1_9__2_MassOfNitrogenAppliedToSoilsScope3(Q30,_xlfn.XLOOKUP($O150, $D$41:$D$49,$E$41:$E$49), _xlfn.XLOOKUP($O150, $D$54:$D$62,$E$54:$E$62), Q75,$F94)</f>
        <v>0.25820467920000001</v>
      </c>
      <c r="R150" s="15" cm="1">
        <f t="array" ref="R150">MMS_Poultry_ManureAppliedToSoils_Equations.VEERG_4_6_1_9__2_MassOfNitrogenAppliedToSoilsScope3(R30,_xlfn.XLOOKUP($O150, $D$41:$D$49,$E$41:$E$49), _xlfn.XLOOKUP($O150, $D$54:$D$62,$E$54:$E$62), R75,$F94)</f>
        <v>0.3030938976</v>
      </c>
      <c r="S150" s="15" cm="1">
        <f t="array" ref="S150">MMS_Poultry_ManureAppliedToSoils_Equations.VEERG_4_6_1_9__2_MassOfNitrogenAppliedToSoilsScope3(S30,_xlfn.XLOOKUP($O150, $D$41:$D$49,$E$41:$E$49), _xlfn.XLOOKUP($O150, $D$54:$D$62,$E$54:$E$62), S75,$F94)</f>
        <v>0.25820467920000001</v>
      </c>
      <c r="T150" s="16"/>
    </row>
    <row r="151" spans="1:20" ht="20.100000000000001" customHeight="1" x14ac:dyDescent="0.2">
      <c r="D151" s="15"/>
      <c r="E151" s="15" t="str">
        <f>INDEX(X_Table_Poultry_Stage2MMS_BeltManureRemoval,6,1)</f>
        <v>Direct application</v>
      </c>
      <c r="F151" s="15" cm="1">
        <f t="array" ref="F151">MMS_Poultry_ManureAppliedToSoils_Equations.VEERG_4_6_1_9__2_MassOfNitrogenAppliedToSoilsScope3(F31,_xlfn.XLOOKUP($E151, $D$41:$D$49,$E$41:$E$49), _xlfn.XLOOKUP($E151, $D$54:$D$62,$E$54:$E$62), F76,$F95)</f>
        <v>0</v>
      </c>
      <c r="G151" s="15" cm="1">
        <f t="array" ref="G151">MMS_Poultry_ManureAppliedToSoils_Equations.VEERG_4_6_1_9__2_MassOfNitrogenAppliedToSoilsScope3(G31,_xlfn.XLOOKUP($E151, $D$41:$D$49,$E$41:$E$49), _xlfn.XLOOKUP($E151, $D$54:$D$62,$E$54:$E$62), G76,$F95)</f>
        <v>0</v>
      </c>
      <c r="H151" s="15" cm="1">
        <f t="array" ref="H151">MMS_Poultry_ManureAppliedToSoils_Equations.VEERG_4_6_1_9__2_MassOfNitrogenAppliedToSoilsScope3(H31,_xlfn.XLOOKUP($E151, $D$41:$D$49,$E$41:$E$49), _xlfn.XLOOKUP($E151, $D$54:$D$62,$E$54:$E$62), H76,$F95)</f>
        <v>0</v>
      </c>
      <c r="I151" s="15" cm="1">
        <f t="array" ref="I151">MMS_Poultry_ManureAppliedToSoils_Equations.VEERG_4_6_1_9__2_MassOfNitrogenAppliedToSoilsScope3(I31,_xlfn.XLOOKUP($E151, $D$41:$D$49,$E$41:$E$49), _xlfn.XLOOKUP($E151, $D$54:$D$62,$E$54:$E$62), I76,$F95)</f>
        <v>0</v>
      </c>
      <c r="N151" s="15"/>
      <c r="O151" s="15" t="str">
        <f>INDEX(X_Table_Poultry_Stage2MMS_BeltManureRemoval,6,1)</f>
        <v>Direct application</v>
      </c>
      <c r="P151" s="15" cm="1">
        <f t="array" ref="P151">MMS_Poultry_ManureAppliedToSoils_Equations.VEERG_4_6_1_9__2_MassOfNitrogenAppliedToSoilsScope3(P31,_xlfn.XLOOKUP($O151, $D$41:$D$49,$E$41:$E$49), _xlfn.XLOOKUP($O151, $D$54:$D$62,$E$54:$E$62), P76,$F95)</f>
        <v>0</v>
      </c>
      <c r="Q151" s="15" cm="1">
        <f t="array" ref="Q151">MMS_Poultry_ManureAppliedToSoils_Equations.VEERG_4_6_1_9__2_MassOfNitrogenAppliedToSoilsScope3(Q31,_xlfn.XLOOKUP($O151, $D$41:$D$49,$E$41:$E$49), _xlfn.XLOOKUP($O151, $D$54:$D$62,$E$54:$E$62), Q76,$F95)</f>
        <v>0</v>
      </c>
      <c r="R151" s="15" cm="1">
        <f t="array" ref="R151">MMS_Poultry_ManureAppliedToSoils_Equations.VEERG_4_6_1_9__2_MassOfNitrogenAppliedToSoilsScope3(R31,_xlfn.XLOOKUP($O151, $D$41:$D$49,$E$41:$E$49), _xlfn.XLOOKUP($O151, $D$54:$D$62,$E$54:$E$62), R76,$F95)</f>
        <v>0</v>
      </c>
      <c r="S151" s="15" cm="1">
        <f t="array" ref="S151">MMS_Poultry_ManureAppliedToSoils_Equations.VEERG_4_6_1_9__2_MassOfNitrogenAppliedToSoilsScope3(S31,_xlfn.XLOOKUP($O151, $D$41:$D$49,$E$41:$E$49), _xlfn.XLOOKUP($O151, $D$54:$D$62,$E$54:$E$62), S76,$F95)</f>
        <v>0</v>
      </c>
    </row>
    <row r="152" spans="1:20" ht="20.100000000000001" customHeight="1" x14ac:dyDescent="0.2">
      <c r="D152" s="15" t="str">
        <f>INDEX(X_Table_Poultry_Stage1MMS,4,1)</f>
        <v>Manure stored in house</v>
      </c>
      <c r="E152" s="15" t="str">
        <f>INDEX(X_Table_Poultry_Stage2MMS_ManureStoredInHouse,2,1)</f>
        <v>Solid storage</v>
      </c>
      <c r="F152" s="15" cm="1">
        <f t="array" ref="F152">MMS_Poultry_ManureAppliedToSoils_Equations.VEERG_4_6_1_9__2_MassOfNitrogenAppliedToSoilsScope3(F32,_xlfn.XLOOKUP($E152, $D$41:$D$49,$E$41:$E$49), _xlfn.XLOOKUP($E152, $D$54:$D$62,$E$54:$E$62), F77,$F96)</f>
        <v>0.11833280940000002</v>
      </c>
      <c r="G152" s="15" cm="1">
        <f t="array" ref="G152">MMS_Poultry_ManureAppliedToSoils_Equations.VEERG_4_6_1_9__2_MassOfNitrogenAppliedToSoilsScope3(G32,_xlfn.XLOOKUP($E152, $D$41:$D$49,$E$41:$E$49), _xlfn.XLOOKUP($E152, $D$54:$D$62,$E$54:$E$62), G77,$F96)</f>
        <v>0.12630670937999997</v>
      </c>
      <c r="H152" s="15" cm="1">
        <f t="array" ref="H152">MMS_Poultry_ManureAppliedToSoils_Equations.VEERG_4_6_1_9__2_MassOfNitrogenAppliedToSoilsScope3(H32,_xlfn.XLOOKUP($E152, $D$41:$D$49,$E$41:$E$49), _xlfn.XLOOKUP($E152, $D$54:$D$62,$E$54:$E$62), H77,$F96)</f>
        <v>0.14826529463999996</v>
      </c>
      <c r="I152" s="15" cm="1">
        <f t="array" ref="I152">MMS_Poultry_ManureAppliedToSoils_Equations.VEERG_4_6_1_9__2_MassOfNitrogenAppliedToSoilsScope3(I32,_xlfn.XLOOKUP($E152, $D$41:$D$49,$E$41:$E$49), _xlfn.XLOOKUP($E152, $D$54:$D$62,$E$54:$E$62), I77,$F96)</f>
        <v>0.12630670937999997</v>
      </c>
      <c r="J152" s="16"/>
      <c r="N152" s="15" t="str">
        <f>INDEX(X_Table_Poultry_Stage1MMS,4,1)</f>
        <v>Manure stored in house</v>
      </c>
      <c r="O152" s="15" t="str">
        <f>INDEX(X_Table_Poultry_Stage2MMS_ManureStoredInHouse,2,1)</f>
        <v>Solid storage</v>
      </c>
      <c r="P152" s="15" cm="1">
        <f t="array" ref="P152">MMS_Poultry_ManureAppliedToSoils_Equations.VEERG_4_6_1_9__2_MassOfNitrogenAppliedToSoilsScope3(P32,_xlfn.XLOOKUP($O152, $D$41:$D$49,$E$41:$E$49), _xlfn.XLOOKUP($O152, $D$54:$D$62,$E$54:$E$62), P77,$F96)</f>
        <v>0.11833280940000002</v>
      </c>
      <c r="Q152" s="15" cm="1">
        <f t="array" ref="Q152">MMS_Poultry_ManureAppliedToSoils_Equations.VEERG_4_6_1_9__2_MassOfNitrogenAppliedToSoilsScope3(Q32,_xlfn.XLOOKUP($O152, $D$41:$D$49,$E$41:$E$49), _xlfn.XLOOKUP($O152, $D$54:$D$62,$E$54:$E$62), Q77,$F96)</f>
        <v>0.12630670937999997</v>
      </c>
      <c r="R152" s="15" cm="1">
        <f t="array" ref="R152">MMS_Poultry_ManureAppliedToSoils_Equations.VEERG_4_6_1_9__2_MassOfNitrogenAppliedToSoilsScope3(R32,_xlfn.XLOOKUP($O152, $D$41:$D$49,$E$41:$E$49), _xlfn.XLOOKUP($O152, $D$54:$D$62,$E$54:$E$62), R77,$F96)</f>
        <v>0.14826529463999996</v>
      </c>
      <c r="S152" s="15" cm="1">
        <f t="array" ref="S152">MMS_Poultry_ManureAppliedToSoils_Equations.VEERG_4_6_1_9__2_MassOfNitrogenAppliedToSoilsScope3(S32,_xlfn.XLOOKUP($O152, $D$41:$D$49,$E$41:$E$49), _xlfn.XLOOKUP($O152, $D$54:$D$62,$E$54:$E$62), S77,$F96)</f>
        <v>0.12630670937999997</v>
      </c>
      <c r="T152" s="16"/>
    </row>
    <row r="153" spans="1:20" ht="20.100000000000001" customHeight="1" x14ac:dyDescent="0.2">
      <c r="D153" s="15"/>
      <c r="E153" s="15" t="str">
        <f>INDEX(X_Table_Poultry_Stage2MMS_ManureStoredInHouse,3,1)</f>
        <v>Composting (passive windrow)</v>
      </c>
      <c r="F153" s="15" cm="1">
        <f t="array" ref="F153">MMS_Poultry_ManureAppliedToSoils_Equations.VEERG_4_6_1_9__2_MassOfNitrogenAppliedToSoilsScope3(F33,_xlfn.XLOOKUP($E153, $D$41:$D$49,$E$41:$E$49), _xlfn.XLOOKUP($E153, $D$54:$D$62,$E$54:$E$62), F78,$F97)</f>
        <v>0.12062312184000003</v>
      </c>
      <c r="G153" s="15" cm="1">
        <f t="array" ref="G153">MMS_Poultry_ManureAppliedToSoils_Equations.VEERG_4_6_1_9__2_MassOfNitrogenAppliedToSoilsScope3(G33,_xlfn.XLOOKUP($E153, $D$41:$D$49,$E$41:$E$49), _xlfn.XLOOKUP($E153, $D$54:$D$62,$E$54:$E$62), G78,$F97)</f>
        <v>0.128751355368</v>
      </c>
      <c r="H153" s="15" cm="1">
        <f t="array" ref="H153">MMS_Poultry_ManureAppliedToSoils_Equations.VEERG_4_6_1_9__2_MassOfNitrogenAppliedToSoilsScope3(H33,_xlfn.XLOOKUP($E153, $D$41:$D$49,$E$41:$E$49), _xlfn.XLOOKUP($E153, $D$54:$D$62,$E$54:$E$62), H78,$F97)</f>
        <v>0.15113494550399997</v>
      </c>
      <c r="I153" s="15" cm="1">
        <f t="array" ref="I153">MMS_Poultry_ManureAppliedToSoils_Equations.VEERG_4_6_1_9__2_MassOfNitrogenAppliedToSoilsScope3(I33,_xlfn.XLOOKUP($E153, $D$41:$D$49,$E$41:$E$49), _xlfn.XLOOKUP($E153, $D$54:$D$62,$E$54:$E$62), I78,$F97)</f>
        <v>0.128751355368</v>
      </c>
      <c r="J153" s="16"/>
      <c r="N153" s="15"/>
      <c r="O153" s="15" t="str">
        <f>INDEX(X_Table_Poultry_Stage2MMS_ManureStoredInHouse,3,1)</f>
        <v>Composting (passive windrow)</v>
      </c>
      <c r="P153" s="15" cm="1">
        <f t="array" ref="P153">MMS_Poultry_ManureAppliedToSoils_Equations.VEERG_4_6_1_9__2_MassOfNitrogenAppliedToSoilsScope3(P33,_xlfn.XLOOKUP($O153, $D$41:$D$49,$E$41:$E$49), _xlfn.XLOOKUP($O153, $D$54:$D$62,$E$54:$E$62), P78,$F97)</f>
        <v>0.12062312184000003</v>
      </c>
      <c r="Q153" s="15" cm="1">
        <f t="array" ref="Q153">MMS_Poultry_ManureAppliedToSoils_Equations.VEERG_4_6_1_9__2_MassOfNitrogenAppliedToSoilsScope3(Q33,_xlfn.XLOOKUP($O153, $D$41:$D$49,$E$41:$E$49), _xlfn.XLOOKUP($O153, $D$54:$D$62,$E$54:$E$62), Q78,$F97)</f>
        <v>0.128751355368</v>
      </c>
      <c r="R153" s="15" cm="1">
        <f t="array" ref="R153">MMS_Poultry_ManureAppliedToSoils_Equations.VEERG_4_6_1_9__2_MassOfNitrogenAppliedToSoilsScope3(R33,_xlfn.XLOOKUP($O153, $D$41:$D$49,$E$41:$E$49), _xlfn.XLOOKUP($O153, $D$54:$D$62,$E$54:$E$62), R78,$F97)</f>
        <v>0.15113494550399997</v>
      </c>
      <c r="S153" s="15" cm="1">
        <f t="array" ref="S153">MMS_Poultry_ManureAppliedToSoils_Equations.VEERG_4_6_1_9__2_MassOfNitrogenAppliedToSoilsScope3(S33,_xlfn.XLOOKUP($O153, $D$41:$D$49,$E$41:$E$49), _xlfn.XLOOKUP($O153, $D$54:$D$62,$E$54:$E$62), S78,$F97)</f>
        <v>0.128751355368</v>
      </c>
      <c r="T153" s="16"/>
    </row>
    <row r="154" spans="1:20" ht="20.100000000000001" customHeight="1" x14ac:dyDescent="0.2">
      <c r="D154" s="15"/>
      <c r="E154" s="15" t="str">
        <f>INDEX(X_Table_Poultry_Stage2MMS_ManureStoredInHouse,4,1)</f>
        <v>Digester / covered lagoons</v>
      </c>
      <c r="F154" s="15" cm="1">
        <f t="array" ref="F154">MMS_Poultry_ManureAppliedToSoils_Equations.VEERG_4_6_1_9__2_MassOfNitrogenAppliedToSoilsScope3(F34,_xlfn.XLOOKUP($E154, $D$41:$D$49,$E$41:$E$49), _xlfn.XLOOKUP($E154, $D$54:$D$62,$E$54:$E$62), F79,$F98)</f>
        <v>0.15268749600000003</v>
      </c>
      <c r="G154" s="15" cm="1">
        <f t="array" ref="G154">MMS_Poultry_ManureAppliedToSoils_Equations.VEERG_4_6_1_9__2_MassOfNitrogenAppliedToSoilsScope3(G34,_xlfn.XLOOKUP($E154, $D$41:$D$49,$E$41:$E$49), _xlfn.XLOOKUP($E154, $D$54:$D$62,$E$54:$E$62), G79,$F98)</f>
        <v>0.16297639919999998</v>
      </c>
      <c r="H154" s="15" cm="1">
        <f t="array" ref="H154">MMS_Poultry_ManureAppliedToSoils_Equations.VEERG_4_6_1_9__2_MassOfNitrogenAppliedToSoilsScope3(H34,_xlfn.XLOOKUP($E154, $D$41:$D$49,$E$41:$E$49), _xlfn.XLOOKUP($E154, $D$54:$D$62,$E$54:$E$62), H79,$F98)</f>
        <v>0.19131005759999997</v>
      </c>
      <c r="I154" s="15" cm="1">
        <f t="array" ref="I154">MMS_Poultry_ManureAppliedToSoils_Equations.VEERG_4_6_1_9__2_MassOfNitrogenAppliedToSoilsScope3(I34,_xlfn.XLOOKUP($E154, $D$41:$D$49,$E$41:$E$49), _xlfn.XLOOKUP($E154, $D$54:$D$62,$E$54:$E$62), I79,$F98)</f>
        <v>0.16297639919999998</v>
      </c>
      <c r="J154" s="16"/>
      <c r="N154" s="15"/>
      <c r="O154" s="15" t="str">
        <f>INDEX(X_Table_Poultry_Stage2MMS_ManureStoredInHouse,4,1)</f>
        <v>Digester / covered lagoons</v>
      </c>
      <c r="P154" s="15" cm="1">
        <f t="array" ref="P154">MMS_Poultry_ManureAppliedToSoils_Equations.VEERG_4_6_1_9__2_MassOfNitrogenAppliedToSoilsScope3(P34,_xlfn.XLOOKUP($O154, $D$41:$D$49,$E$41:$E$49), _xlfn.XLOOKUP($O154, $D$54:$D$62,$E$54:$E$62), P79,$F98)</f>
        <v>0.15268749600000003</v>
      </c>
      <c r="Q154" s="15" cm="1">
        <f t="array" ref="Q154">MMS_Poultry_ManureAppliedToSoils_Equations.VEERG_4_6_1_9__2_MassOfNitrogenAppliedToSoilsScope3(Q34,_xlfn.XLOOKUP($O154, $D$41:$D$49,$E$41:$E$49), _xlfn.XLOOKUP($O154, $D$54:$D$62,$E$54:$E$62), Q79,$F98)</f>
        <v>0.16297639919999998</v>
      </c>
      <c r="R154" s="15" cm="1">
        <f t="array" ref="R154">MMS_Poultry_ManureAppliedToSoils_Equations.VEERG_4_6_1_9__2_MassOfNitrogenAppliedToSoilsScope3(R34,_xlfn.XLOOKUP($O154, $D$41:$D$49,$E$41:$E$49), _xlfn.XLOOKUP($O154, $D$54:$D$62,$E$54:$E$62), R79,$F98)</f>
        <v>0.19131005759999997</v>
      </c>
      <c r="S154" s="15" cm="1">
        <f t="array" ref="S154">MMS_Poultry_ManureAppliedToSoils_Equations.VEERG_4_6_1_9__2_MassOfNitrogenAppliedToSoilsScope3(S34,_xlfn.XLOOKUP($O154, $D$41:$D$49,$E$41:$E$49), _xlfn.XLOOKUP($O154, $D$54:$D$62,$E$54:$E$62), S79,$F98)</f>
        <v>0.16297639919999998</v>
      </c>
      <c r="T154" s="16"/>
    </row>
    <row r="155" spans="1:20" ht="20.100000000000001" customHeight="1" x14ac:dyDescent="0.2">
      <c r="D155" s="15"/>
      <c r="E155" s="15" t="str">
        <f>INDEX(X_Table_Poultry_Stage2MMS_ManureStoredInHouse,5,1)</f>
        <v>Direct processing</v>
      </c>
      <c r="F155" s="15" cm="1">
        <f t="array" ref="F155">MMS_Poultry_ManureAppliedToSoils_Equations.VEERG_4_6_1_9__2_MassOfNitrogenAppliedToSoilsScope3(F35,_xlfn.XLOOKUP($E155, $D$41:$D$49,$E$41:$E$49), _xlfn.XLOOKUP($E155, $D$54:$D$62,$E$54:$E$62), F80,$F99)</f>
        <v>0.15268749600000003</v>
      </c>
      <c r="G155" s="15" cm="1">
        <f t="array" ref="G155">MMS_Poultry_ManureAppliedToSoils_Equations.VEERG_4_6_1_9__2_MassOfNitrogenAppliedToSoilsScope3(G35,_xlfn.XLOOKUP($E155, $D$41:$D$49,$E$41:$E$49), _xlfn.XLOOKUP($E155, $D$54:$D$62,$E$54:$E$62), G80,$F99)</f>
        <v>0.16297639919999998</v>
      </c>
      <c r="H155" s="15" cm="1">
        <f t="array" ref="H155">MMS_Poultry_ManureAppliedToSoils_Equations.VEERG_4_6_1_9__2_MassOfNitrogenAppliedToSoilsScope3(H35,_xlfn.XLOOKUP($E155, $D$41:$D$49,$E$41:$E$49), _xlfn.XLOOKUP($E155, $D$54:$D$62,$E$54:$E$62), H80,$F99)</f>
        <v>0.19131005759999997</v>
      </c>
      <c r="I155" s="15" cm="1">
        <f t="array" ref="I155">MMS_Poultry_ManureAppliedToSoils_Equations.VEERG_4_6_1_9__2_MassOfNitrogenAppliedToSoilsScope3(I35,_xlfn.XLOOKUP($E155, $D$41:$D$49,$E$41:$E$49), _xlfn.XLOOKUP($E155, $D$54:$D$62,$E$54:$E$62), I80,$F99)</f>
        <v>0.16297639919999998</v>
      </c>
      <c r="J155" s="16"/>
      <c r="N155" s="15"/>
      <c r="O155" s="15" t="str">
        <f>INDEX(X_Table_Poultry_Stage2MMS_ManureStoredInHouse,5,1)</f>
        <v>Direct processing</v>
      </c>
      <c r="P155" s="15" cm="1">
        <f t="array" ref="P155">MMS_Poultry_ManureAppliedToSoils_Equations.VEERG_4_6_1_9__2_MassOfNitrogenAppliedToSoilsScope3(P35,_xlfn.XLOOKUP($O155, $D$41:$D$49,$E$41:$E$49), _xlfn.XLOOKUP($O155, $D$54:$D$62,$E$54:$E$62), P80,$F99)</f>
        <v>0.15268749600000003</v>
      </c>
      <c r="Q155" s="15" cm="1">
        <f t="array" ref="Q155">MMS_Poultry_ManureAppliedToSoils_Equations.VEERG_4_6_1_9__2_MassOfNitrogenAppliedToSoilsScope3(Q35,_xlfn.XLOOKUP($O155, $D$41:$D$49,$E$41:$E$49), _xlfn.XLOOKUP($O155, $D$54:$D$62,$E$54:$E$62), Q80,$F99)</f>
        <v>0.16297639919999998</v>
      </c>
      <c r="R155" s="15" cm="1">
        <f t="array" ref="R155">MMS_Poultry_ManureAppliedToSoils_Equations.VEERG_4_6_1_9__2_MassOfNitrogenAppliedToSoilsScope3(R35,_xlfn.XLOOKUP($O155, $D$41:$D$49,$E$41:$E$49), _xlfn.XLOOKUP($O155, $D$54:$D$62,$E$54:$E$62), R80,$F99)</f>
        <v>0.19131005759999997</v>
      </c>
      <c r="S155" s="15" cm="1">
        <f t="array" ref="S155">MMS_Poultry_ManureAppliedToSoils_Equations.VEERG_4_6_1_9__2_MassOfNitrogenAppliedToSoilsScope3(S35,_xlfn.XLOOKUP($O155, $D$41:$D$49,$E$41:$E$49), _xlfn.XLOOKUP($O155, $D$54:$D$62,$E$54:$E$62), S80,$F99)</f>
        <v>0.16297639919999998</v>
      </c>
      <c r="T155" s="16"/>
    </row>
    <row r="156" spans="1:20" ht="20.100000000000001" customHeight="1" x14ac:dyDescent="0.2">
      <c r="D156" s="15"/>
      <c r="E156" s="15" t="str">
        <f>INDEX(X_Table_Poultry_Stage2MMS_ManureStoredInHouse,6,1)</f>
        <v>Direct application</v>
      </c>
      <c r="F156" s="15" cm="1">
        <f t="array" ref="F156">MMS_Poultry_ManureAppliedToSoils_Equations.VEERG_4_6_1_9__2_MassOfNitrogenAppliedToSoilsScope3(F36,_xlfn.XLOOKUP($E156, $D$41:$D$49,$E$41:$E$49), _xlfn.XLOOKUP($E156, $D$54:$D$62,$E$54:$E$62), F81,$F100)</f>
        <v>0</v>
      </c>
      <c r="G156" s="15" cm="1">
        <f t="array" ref="G156">MMS_Poultry_ManureAppliedToSoils_Equations.VEERG_4_6_1_9__2_MassOfNitrogenAppliedToSoilsScope3(G36,_xlfn.XLOOKUP($E156, $D$41:$D$49,$E$41:$E$49), _xlfn.XLOOKUP($E156, $D$54:$D$62,$E$54:$E$62), G81,$F100)</f>
        <v>0</v>
      </c>
      <c r="H156" s="15" cm="1">
        <f t="array" ref="H156">MMS_Poultry_ManureAppliedToSoils_Equations.VEERG_4_6_1_9__2_MassOfNitrogenAppliedToSoilsScope3(H36,_xlfn.XLOOKUP($E156, $D$41:$D$49,$E$41:$E$49), _xlfn.XLOOKUP($E156, $D$54:$D$62,$E$54:$E$62), H81,$F100)</f>
        <v>0</v>
      </c>
      <c r="I156" s="15" cm="1">
        <f t="array" ref="I156">MMS_Poultry_ManureAppliedToSoils_Equations.VEERG_4_6_1_9__2_MassOfNitrogenAppliedToSoilsScope3(I36,_xlfn.XLOOKUP($E156, $D$41:$D$49,$E$41:$E$49), _xlfn.XLOOKUP($E156, $D$54:$D$62,$E$54:$E$62), I81,$F100)</f>
        <v>0</v>
      </c>
      <c r="N156" s="15"/>
      <c r="O156" s="15" t="str">
        <f>INDEX(X_Table_Poultry_Stage2MMS_ManureStoredInHouse,6,1)</f>
        <v>Direct application</v>
      </c>
      <c r="P156" s="15" cm="1">
        <f t="array" ref="P156">MMS_Poultry_ManureAppliedToSoils_Equations.VEERG_4_6_1_9__2_MassOfNitrogenAppliedToSoilsScope3(P36,_xlfn.XLOOKUP($O156, $D$41:$D$49,$E$41:$E$49), _xlfn.XLOOKUP($O156, $D$54:$D$62,$E$54:$E$62), P81,$F100)</f>
        <v>0</v>
      </c>
      <c r="Q156" s="15" cm="1">
        <f t="array" ref="Q156">MMS_Poultry_ManureAppliedToSoils_Equations.VEERG_4_6_1_9__2_MassOfNitrogenAppliedToSoilsScope3(Q36,_xlfn.XLOOKUP($O156, $D$41:$D$49,$E$41:$E$49), _xlfn.XLOOKUP($O156, $D$54:$D$62,$E$54:$E$62), Q81,$F100)</f>
        <v>0</v>
      </c>
      <c r="R156" s="15" cm="1">
        <f t="array" ref="R156">MMS_Poultry_ManureAppliedToSoils_Equations.VEERG_4_6_1_9__2_MassOfNitrogenAppliedToSoilsScope3(R36,_xlfn.XLOOKUP($O156, $D$41:$D$49,$E$41:$E$49), _xlfn.XLOOKUP($O156, $D$54:$D$62,$E$54:$E$62), R81,$F100)</f>
        <v>0</v>
      </c>
      <c r="S156" s="15" cm="1">
        <f t="array" ref="S156">MMS_Poultry_ManureAppliedToSoils_Equations.VEERG_4_6_1_9__2_MassOfNitrogenAppliedToSoilsScope3(S36,_xlfn.XLOOKUP($O156, $D$41:$D$49,$E$41:$E$49), _xlfn.XLOOKUP($O156, $D$54:$D$62,$E$54:$E$62), S81,$F100)</f>
        <v>0</v>
      </c>
    </row>
    <row r="158" spans="1:20" ht="20.100000000000001" customHeight="1" x14ac:dyDescent="0.2">
      <c r="A158" s="79" t="str">
        <f>HYPERLINK("#A1", "▲ Back to top")</f>
        <v>▲ Back to top</v>
      </c>
      <c r="D158" s="85" t="s">
        <v>465</v>
      </c>
      <c r="E158" s="86">
        <f>SUM(F142:I156)</f>
        <v>8.9593892186400037</v>
      </c>
      <c r="F158" s="95" t="str">
        <f>$E$131</f>
        <v>kg N</v>
      </c>
      <c r="N158" s="85" t="s">
        <v>465</v>
      </c>
      <c r="O158" s="86">
        <f>SUM(P142:S156)</f>
        <v>8.9593892186400037</v>
      </c>
      <c r="P158" s="95" t="str">
        <f>$E$131</f>
        <v>kg N</v>
      </c>
    </row>
    <row r="161" spans="3:21" ht="20.100000000000001" customHeight="1" x14ac:dyDescent="0.2">
      <c r="C161" s="83"/>
      <c r="D161" s="83"/>
      <c r="E161" s="83"/>
      <c r="F161" s="83"/>
      <c r="G161" s="83"/>
      <c r="H161" s="83"/>
      <c r="I161" s="83"/>
      <c r="J161" s="83"/>
      <c r="K161" s="83"/>
      <c r="L161" s="135"/>
      <c r="M161" s="83"/>
      <c r="N161" s="83"/>
      <c r="O161" s="83"/>
      <c r="P161" s="83"/>
      <c r="Q161" s="83"/>
      <c r="R161" s="83"/>
      <c r="S161" s="83"/>
      <c r="T161" s="83"/>
      <c r="U161" s="83"/>
    </row>
    <row r="162" spans="3:21" ht="20.100000000000001" customHeight="1" x14ac:dyDescent="0.2">
      <c r="D162" s="131" t="str">
        <f>"Below are applications of " &amp; D60 &amp; " that are applied to the following contexts:"</f>
        <v>Below are applications of Digester / covered lagoons that are applied to the following contexts:</v>
      </c>
      <c r="E162" s="43"/>
      <c r="F162" s="43"/>
      <c r="G162" s="43"/>
      <c r="H162" s="44"/>
    </row>
    <row r="163" spans="3:21" ht="20.100000000000001" customHeight="1" x14ac:dyDescent="0.2">
      <c r="D163" s="45" t="s">
        <v>466</v>
      </c>
      <c r="E163" s="46"/>
      <c r="F163" s="46"/>
      <c r="G163" s="46"/>
      <c r="H163" s="47"/>
    </row>
    <row r="165" spans="3:21" ht="20.100000000000001" customHeight="1" x14ac:dyDescent="0.2">
      <c r="D165" s="2" t="s">
        <v>467</v>
      </c>
    </row>
    <row r="167" spans="3:21" ht="20.100000000000001" customHeight="1" x14ac:dyDescent="0.2">
      <c r="D167" s="124" t="s">
        <v>468</v>
      </c>
    </row>
    <row r="168" spans="3:21" ht="20.100000000000001" customHeight="1" x14ac:dyDescent="0.2">
      <c r="D168" s="125" t="s">
        <v>469</v>
      </c>
    </row>
    <row r="169" spans="3:21" ht="20.100000000000001" customHeight="1" x14ac:dyDescent="0.2">
      <c r="D169" s="78" t="s">
        <v>314</v>
      </c>
      <c r="E169" s="78" t="s">
        <v>318</v>
      </c>
      <c r="F169" s="78" t="s">
        <v>455</v>
      </c>
    </row>
    <row r="170" spans="3:21" ht="20.100000000000001" customHeight="1" x14ac:dyDescent="0.2">
      <c r="D170" s="15" t="str">
        <f>INDEX(X_Table_Poultry_Stage1MMS,2,1)</f>
        <v>Poultry manure with bedding</v>
      </c>
      <c r="E170" s="15" t="str">
        <f>INDEX(X_Table_Poultry_Stage2MMS_PoultryManureWithBedding,2,1)</f>
        <v>Solid storage</v>
      </c>
      <c r="F170" s="15">
        <f>INDEX(X_Table_Poultry_Stage2MMS_PoultryManureWithBedding_Destinations,2,3)</f>
        <v>0.25</v>
      </c>
      <c r="G170" s="16" t="str">
        <f>$G$137</f>
        <v>fraction</v>
      </c>
    </row>
    <row r="171" spans="3:21" ht="20.100000000000001" customHeight="1" x14ac:dyDescent="0.2">
      <c r="D171" s="15"/>
      <c r="E171" s="15" t="str">
        <f>INDEX(X_Table_Poultry_Stage2MMS_PoultryManureWithBedding,3,1)</f>
        <v>Composting (passive windrow)</v>
      </c>
      <c r="F171" s="15">
        <f>INDEX(X_Table_Poultry_Stage2MMS_PoultryManureWithBedding_Destinations,3,3)</f>
        <v>0.25</v>
      </c>
      <c r="G171" s="16"/>
    </row>
    <row r="172" spans="3:21" ht="20.100000000000001" customHeight="1" x14ac:dyDescent="0.2">
      <c r="D172" s="15"/>
      <c r="E172" s="15" t="str">
        <f>INDEX(X_Table_Poultry_Stage2MMS_PoultryManureWithBedding,4,1)</f>
        <v>Digester / covered lagoons</v>
      </c>
      <c r="F172" s="15">
        <f>INDEX(X_Table_Poultry_Stage2MMS_PoultryManureWithBedding_Destinations,4,3)</f>
        <v>0.25</v>
      </c>
      <c r="G172" s="16"/>
    </row>
    <row r="173" spans="3:21" ht="20.100000000000001" customHeight="1" x14ac:dyDescent="0.2">
      <c r="D173" s="15"/>
      <c r="E173" s="15" t="str">
        <f>INDEX(X_Table_Poultry_Stage2MMS_PoultryManureWithBedding,5,1)</f>
        <v>Direct processing</v>
      </c>
      <c r="F173" s="15">
        <f>INDEX(X_Table_Poultry_Stage2MMS_PoultryManureWithBedding_Destinations,5,3)</f>
        <v>0.25</v>
      </c>
      <c r="G173" s="16"/>
    </row>
    <row r="174" spans="3:21" ht="20.100000000000001" customHeight="1" x14ac:dyDescent="0.2">
      <c r="D174" s="15"/>
      <c r="E174" s="15" t="str">
        <f>INDEX(X_Table_Poultry_Stage2MMS_PoultryManureWithBedding,6,1)</f>
        <v>Direct application</v>
      </c>
      <c r="F174" s="15">
        <f>INDEX(X_Table_Poultry_Stage2MMS_PoultryManureWithBedding_Destinations,6,3)</f>
        <v>0</v>
      </c>
    </row>
    <row r="175" spans="3:21" ht="20.100000000000001" customHeight="1" x14ac:dyDescent="0.2">
      <c r="D175" s="15" t="str">
        <f>INDEX(X_Table_Poultry_Stage1MMS,3,1)</f>
        <v>Belt manure removal</v>
      </c>
      <c r="E175" s="15" t="str">
        <f>INDEX(X_Table_Poultry_Stage2MMS_BeltManureRemoval,2,1)</f>
        <v>Solid storage</v>
      </c>
      <c r="F175" s="15">
        <f>INDEX(X_Table_Poultry_Stage2MMS_BeltManureRemoval_Destinations,2,3)</f>
        <v>0.25</v>
      </c>
      <c r="G175" s="16"/>
    </row>
    <row r="176" spans="3:21" ht="20.100000000000001" customHeight="1" x14ac:dyDescent="0.2">
      <c r="D176" s="15"/>
      <c r="E176" s="15" t="str">
        <f>INDEX(X_Table_Poultry_Stage2MMS_BeltManureRemoval,3,1)</f>
        <v>Composting (passive windrow)</v>
      </c>
      <c r="F176" s="15">
        <f>INDEX(X_Table_Poultry_Stage2MMS_BeltManureRemoval_Destinations,3,3)</f>
        <v>0.25</v>
      </c>
      <c r="G176" s="16"/>
    </row>
    <row r="177" spans="1:20" ht="20.100000000000001" customHeight="1" x14ac:dyDescent="0.2">
      <c r="D177" s="15"/>
      <c r="E177" s="15" t="str">
        <f>INDEX(X_Table_Poultry_Stage2MMS_BeltManureRemoval,4,1)</f>
        <v>Digester / covered lagoons</v>
      </c>
      <c r="F177" s="15">
        <f>INDEX(X_Table_Poultry_Stage2MMS_BeltManureRemoval_Destinations,4,3)</f>
        <v>0.25</v>
      </c>
      <c r="G177" s="16"/>
    </row>
    <row r="178" spans="1:20" ht="20.100000000000001" customHeight="1" x14ac:dyDescent="0.2">
      <c r="D178" s="15"/>
      <c r="E178" s="15" t="str">
        <f>INDEX(X_Table_Poultry_Stage2MMS_BeltManureRemoval,5,1)</f>
        <v>Direct processing</v>
      </c>
      <c r="F178" s="15">
        <f>INDEX(X_Table_Poultry_Stage2MMS_BeltManureRemoval_Destinations,5,3)</f>
        <v>0.25</v>
      </c>
      <c r="G178" s="16"/>
    </row>
    <row r="179" spans="1:20" ht="20.100000000000001" customHeight="1" x14ac:dyDescent="0.2">
      <c r="D179" s="15"/>
      <c r="E179" s="15" t="str">
        <f>INDEX(X_Table_Poultry_Stage2MMS_BeltManureRemoval,6,1)</f>
        <v>Direct application</v>
      </c>
      <c r="F179" s="15">
        <f>INDEX(X_Table_Poultry_Stage2MMS_BeltManureRemoval_Destinations,6,3)</f>
        <v>0</v>
      </c>
    </row>
    <row r="180" spans="1:20" ht="20.100000000000001" customHeight="1" x14ac:dyDescent="0.2">
      <c r="D180" s="15" t="str">
        <f>INDEX(X_Table_Poultry_Stage1MMS,4,1)</f>
        <v>Manure stored in house</v>
      </c>
      <c r="E180" s="15" t="str">
        <f>INDEX(X_Table_Poultry_Stage2MMS_ManureStoredInHouse,2,1)</f>
        <v>Solid storage</v>
      </c>
      <c r="F180" s="15">
        <f>INDEX(X_Table_Poultry_Stage2MMS_ManureStoredInHouse_Destinations,2,3)</f>
        <v>0.25</v>
      </c>
      <c r="G180" s="16"/>
    </row>
    <row r="181" spans="1:20" ht="20.100000000000001" customHeight="1" x14ac:dyDescent="0.2">
      <c r="D181" s="15"/>
      <c r="E181" s="15" t="str">
        <f>INDEX(X_Table_Poultry_Stage2MMS_ManureStoredInHouse,3,1)</f>
        <v>Composting (passive windrow)</v>
      </c>
      <c r="F181" s="15">
        <f>INDEX(X_Table_Poultry_Stage2MMS_ManureStoredInHouse_Destinations,3,3)</f>
        <v>0.25</v>
      </c>
      <c r="G181" s="16"/>
    </row>
    <row r="182" spans="1:20" ht="20.100000000000001" customHeight="1" x14ac:dyDescent="0.2">
      <c r="D182" s="15"/>
      <c r="E182" s="15" t="str">
        <f>INDEX(X_Table_Poultry_Stage2MMS_ManureStoredInHouse,4,1)</f>
        <v>Digester / covered lagoons</v>
      </c>
      <c r="F182" s="15">
        <f>INDEX(X_Table_Poultry_Stage2MMS_ManureStoredInHouse_Destinations,4,3)</f>
        <v>0.25</v>
      </c>
      <c r="G182" s="16"/>
    </row>
    <row r="183" spans="1:20" ht="20.100000000000001" customHeight="1" x14ac:dyDescent="0.2">
      <c r="D183" s="15"/>
      <c r="E183" s="15" t="str">
        <f>INDEX(X_Table_Poultry_Stage2MMS_ManureStoredInHouse,5,1)</f>
        <v>Direct processing</v>
      </c>
      <c r="F183" s="15">
        <f>INDEX(X_Table_Poultry_Stage2MMS_ManureStoredInHouse_Destinations,5,3)</f>
        <v>0.25</v>
      </c>
      <c r="G183" s="16"/>
    </row>
    <row r="184" spans="1:20" ht="20.100000000000001" customHeight="1" x14ac:dyDescent="0.2">
      <c r="D184" s="15"/>
      <c r="E184" s="15" t="str">
        <f>INDEX(X_Table_Poultry_Stage2MMS_ManureStoredInHouse,6,1)</f>
        <v>Direct application</v>
      </c>
      <c r="F184" s="15">
        <f>INDEX(X_Table_Poultry_Stage2MMS_ManureStoredInHouse_Destinations,6,3)</f>
        <v>0</v>
      </c>
    </row>
    <row r="186" spans="1:20" ht="20.100000000000001" customHeight="1" x14ac:dyDescent="0.2">
      <c r="D186" s="118" t="s">
        <v>470</v>
      </c>
      <c r="N186" s="118" t="s">
        <v>471</v>
      </c>
    </row>
    <row r="187" spans="1:20" ht="20.100000000000001" customHeight="1" x14ac:dyDescent="0.2">
      <c r="D187" s="125" t="s">
        <v>472</v>
      </c>
      <c r="N187" s="125" t="s">
        <v>473</v>
      </c>
    </row>
    <row r="188" spans="1:20" ht="20.100000000000001" customHeight="1" x14ac:dyDescent="0.2">
      <c r="A188" s="79" t="str">
        <f>HYPERLINK("#A1", "▲ Back to top")</f>
        <v>▲ Back to top</v>
      </c>
      <c r="D188" s="120" t="s">
        <v>314</v>
      </c>
      <c r="E188" s="120" t="s">
        <v>318</v>
      </c>
      <c r="F188" s="120" t="s">
        <v>297</v>
      </c>
      <c r="G188" s="120" t="s">
        <v>298</v>
      </c>
      <c r="H188" s="120" t="s">
        <v>299</v>
      </c>
      <c r="I188" s="120" t="s">
        <v>300</v>
      </c>
      <c r="N188" s="120" t="s">
        <v>314</v>
      </c>
      <c r="O188" s="120" t="s">
        <v>318</v>
      </c>
      <c r="P188" s="120" t="s">
        <v>297</v>
      </c>
      <c r="Q188" s="120" t="s">
        <v>298</v>
      </c>
      <c r="R188" s="120" t="s">
        <v>299</v>
      </c>
      <c r="S188" s="120" t="s">
        <v>300</v>
      </c>
    </row>
    <row r="189" spans="1:20" ht="20.100000000000001" customHeight="1" x14ac:dyDescent="0.2">
      <c r="D189" s="15" t="str">
        <f>INDEX(X_Table_Poultry_Stage1MMS,2,1)</f>
        <v>Poultry manure with bedding</v>
      </c>
      <c r="E189" s="15" t="str">
        <f>INDEX(X_Table_Poultry_Stage2MMS_PoultryManureWithBedding,2,1)</f>
        <v>Solid storage</v>
      </c>
      <c r="F189" s="15" cm="1">
        <f t="array" ref="F189">MMS_Poultry_ManureAppliedToSoils_Equations.VEERG_4_6_1_9__1_MassOfNitrogenAppliedToSoilsScope1(F22,_xlfn.XLOOKUP($E189, $D$41:$D$49,$E$41:$E$49), _xlfn.XLOOKUP($E189, $D$54:$D$62,$E$54:$E$62), F67,$F170)</f>
        <v>0.13808786940000004</v>
      </c>
      <c r="G189" s="15" cm="1">
        <f t="array" ref="G189">MMS_Poultry_ManureAppliedToSoils_Equations.VEERG_4_6_1_9__1_MassOfNitrogenAppliedToSoilsScope1(G22,_xlfn.XLOOKUP($E189, $D$41:$D$49,$E$41:$E$49), _xlfn.XLOOKUP($E189, $D$54:$D$62,$E$54:$E$62), G67,$F170)</f>
        <v>0.14739297138000002</v>
      </c>
      <c r="H189" s="15" cm="1">
        <f t="array" ref="H189">MMS_Poultry_ManureAppliedToSoils_Equations.VEERG_4_6_1_9__1_MassOfNitrogenAppliedToSoilsScope1(H22,_xlfn.XLOOKUP($E189, $D$41:$D$49,$E$41:$E$49), _xlfn.XLOOKUP($E189, $D$54:$D$62,$E$54:$E$62), H67,$F170)</f>
        <v>0.17301743063999997</v>
      </c>
      <c r="I189" s="15" cm="1">
        <f t="array" ref="I189">MMS_Poultry_ManureAppliedToSoils_Equations.VEERG_4_6_1_9__1_MassOfNitrogenAppliedToSoilsScope1(I22,_xlfn.XLOOKUP($E189, $D$41:$D$49,$E$41:$E$49), _xlfn.XLOOKUP($E189, $D$54:$D$62,$E$54:$E$62), I67,$F170)</f>
        <v>0.14739297138000002</v>
      </c>
      <c r="J189" s="16" t="str">
        <f>$E$11</f>
        <v>kg N</v>
      </c>
      <c r="N189" s="15" t="str">
        <f>INDEX(X_Table_Poultry_Stage1MMS,2,1)</f>
        <v>Poultry manure with bedding</v>
      </c>
      <c r="O189" s="15" t="str">
        <f>INDEX(X_Table_Poultry_Stage2MMS_PoultryManureWithBedding,2,1)</f>
        <v>Solid storage</v>
      </c>
      <c r="P189" s="15" cm="1">
        <f t="array" ref="P189">MMS_Poultry_ManureAppliedToSoils_Equations.VEERG_4_6_1_9__1_MassOfNitrogenAppliedToSoilsScope1(P22,_xlfn.XLOOKUP($O189, $D$41:$D$49,$E$41:$E$49), _xlfn.XLOOKUP($O189, $D$54:$D$62,$E$54:$E$62), P67,$F170)</f>
        <v>0.13808786940000004</v>
      </c>
      <c r="Q189" s="15" cm="1">
        <f t="array" ref="Q189">MMS_Poultry_ManureAppliedToSoils_Equations.VEERG_4_6_1_9__1_MassOfNitrogenAppliedToSoilsScope1(Q22,_xlfn.XLOOKUP($O189, $D$41:$D$49,$E$41:$E$49), _xlfn.XLOOKUP($O189, $D$54:$D$62,$E$54:$E$62), Q67,$F170)</f>
        <v>0.14739297138000002</v>
      </c>
      <c r="R189" s="15" cm="1">
        <f t="array" ref="R189">MMS_Poultry_ManureAppliedToSoils_Equations.VEERG_4_6_1_9__1_MassOfNitrogenAppliedToSoilsScope1(R22,_xlfn.XLOOKUP($O189, $D$41:$D$49,$E$41:$E$49), _xlfn.XLOOKUP($O189, $D$54:$D$62,$E$54:$E$62), R67,$F170)</f>
        <v>0.17301743063999997</v>
      </c>
      <c r="S189" s="15" cm="1">
        <f t="array" ref="S189">MMS_Poultry_ManureAppliedToSoils_Equations.VEERG_4_6_1_9__1_MassOfNitrogenAppliedToSoilsScope1(S22,_xlfn.XLOOKUP($O189, $D$41:$D$49,$E$41:$E$49), _xlfn.XLOOKUP($O189, $D$54:$D$62,$E$54:$E$62), S67,$F170)</f>
        <v>0.14739297138000002</v>
      </c>
      <c r="T189" s="16" t="str">
        <f>$E$11</f>
        <v>kg N</v>
      </c>
    </row>
    <row r="190" spans="1:20" ht="20.100000000000001" customHeight="1" x14ac:dyDescent="0.2">
      <c r="D190" s="15"/>
      <c r="E190" s="15" t="str">
        <f>INDEX(X_Table_Poultry_Stage2MMS_PoultryManureWithBedding,3,1)</f>
        <v>Composting (passive windrow)</v>
      </c>
      <c r="F190" s="15" cm="1">
        <f t="array" ref="F190">MMS_Poultry_ManureAppliedToSoils_Equations.VEERG_4_6_1_9__1_MassOfNitrogenAppliedToSoilsScope1(F23,_xlfn.XLOOKUP($E190, $D$41:$D$49,$E$41:$E$49), _xlfn.XLOOKUP($E190, $D$54:$D$62,$E$54:$E$62), F68,$F171)</f>
        <v>0.14076053784000003</v>
      </c>
      <c r="G190" s="15" cm="1">
        <f t="array" ref="G190">MMS_Poultry_ManureAppliedToSoils_Equations.VEERG_4_6_1_9__1_MassOfNitrogenAppliedToSoilsScope1(G23,_xlfn.XLOOKUP($E190, $D$41:$D$49,$E$41:$E$49), _xlfn.XLOOKUP($E190, $D$54:$D$62,$E$54:$E$62), G68,$F171)</f>
        <v>0.150245738568</v>
      </c>
      <c r="H190" s="15" cm="1">
        <f t="array" ref="H190">MMS_Poultry_ManureAppliedToSoils_Equations.VEERG_4_6_1_9__1_MassOfNitrogenAppliedToSoilsScope1(H23,_xlfn.XLOOKUP($E190, $D$41:$D$49,$E$41:$E$49), _xlfn.XLOOKUP($E190, $D$54:$D$62,$E$54:$E$62), H68,$F171)</f>
        <v>0.176366155104</v>
      </c>
      <c r="I190" s="15" cm="1">
        <f t="array" ref="I190">MMS_Poultry_ManureAppliedToSoils_Equations.VEERG_4_6_1_9__1_MassOfNitrogenAppliedToSoilsScope1(I23,_xlfn.XLOOKUP($E190, $D$41:$D$49,$E$41:$E$49), _xlfn.XLOOKUP($E190, $D$54:$D$62,$E$54:$E$62), I68,$F171)</f>
        <v>0.150245738568</v>
      </c>
      <c r="J190" s="16"/>
      <c r="N190" s="15"/>
      <c r="O190" s="15" t="str">
        <f>INDEX(X_Table_Poultry_Stage2MMS_PoultryManureWithBedding,3,1)</f>
        <v>Composting (passive windrow)</v>
      </c>
      <c r="P190" s="15" cm="1">
        <f t="array" ref="P190">MMS_Poultry_ManureAppliedToSoils_Equations.VEERG_4_6_1_9__1_MassOfNitrogenAppliedToSoilsScope1(P23,_xlfn.XLOOKUP($O190, $D$41:$D$49,$E$41:$E$49), _xlfn.XLOOKUP($O190, $D$54:$D$62,$E$54:$E$62), P68,$F171)</f>
        <v>0.14076053784000003</v>
      </c>
      <c r="Q190" s="15" cm="1">
        <f t="array" ref="Q190">MMS_Poultry_ManureAppliedToSoils_Equations.VEERG_4_6_1_9__1_MassOfNitrogenAppliedToSoilsScope1(Q23,_xlfn.XLOOKUP($O190, $D$41:$D$49,$E$41:$E$49), _xlfn.XLOOKUP($O190, $D$54:$D$62,$E$54:$E$62), Q68,$F171)</f>
        <v>0.150245738568</v>
      </c>
      <c r="R190" s="15" cm="1">
        <f t="array" ref="R190">MMS_Poultry_ManureAppliedToSoils_Equations.VEERG_4_6_1_9__1_MassOfNitrogenAppliedToSoilsScope1(R23,_xlfn.XLOOKUP($O190, $D$41:$D$49,$E$41:$E$49), _xlfn.XLOOKUP($O190, $D$54:$D$62,$E$54:$E$62), R68,$F171)</f>
        <v>0.176366155104</v>
      </c>
      <c r="S190" s="15" cm="1">
        <f t="array" ref="S190">MMS_Poultry_ManureAppliedToSoils_Equations.VEERG_4_6_1_9__1_MassOfNitrogenAppliedToSoilsScope1(S23,_xlfn.XLOOKUP($O190, $D$41:$D$49,$E$41:$E$49), _xlfn.XLOOKUP($O190, $D$54:$D$62,$E$54:$E$62), S68,$F171)</f>
        <v>0.150245738568</v>
      </c>
      <c r="T190" s="16"/>
    </row>
    <row r="191" spans="1:20" ht="20.100000000000001" customHeight="1" x14ac:dyDescent="0.2">
      <c r="D191" s="15"/>
      <c r="E191" s="15" t="str">
        <f>INDEX(X_Table_Poultry_Stage2MMS_PoultryManureWithBedding,4,1)</f>
        <v>Digester / covered lagoons</v>
      </c>
      <c r="F191" s="15" cm="1">
        <f t="array" ref="F191">MMS_Poultry_ManureAppliedToSoils_Equations.VEERG_4_6_1_9__1_MassOfNitrogenAppliedToSoilsScope1(F24,_xlfn.XLOOKUP($E191, $D$41:$D$49,$E$41:$E$49), _xlfn.XLOOKUP($E191, $D$54:$D$62,$E$54:$E$62), F69,$F172)</f>
        <v>0.17817789600000003</v>
      </c>
      <c r="G191" s="15" cm="1">
        <f t="array" ref="G191">MMS_Poultry_ManureAppliedToSoils_Equations.VEERG_4_6_1_9__1_MassOfNitrogenAppliedToSoilsScope1(G24,_xlfn.XLOOKUP($E191, $D$41:$D$49,$E$41:$E$49), _xlfn.XLOOKUP($E191, $D$54:$D$62,$E$54:$E$62), G69,$F172)</f>
        <v>0.19018447920000001</v>
      </c>
      <c r="H191" s="15" cm="1">
        <f t="array" ref="H191">MMS_Poultry_ManureAppliedToSoils_Equations.VEERG_4_6_1_9__1_MassOfNitrogenAppliedToSoilsScope1(H24,_xlfn.XLOOKUP($E191, $D$41:$D$49,$E$41:$E$49), _xlfn.XLOOKUP($E191, $D$54:$D$62,$E$54:$E$62), H69,$F172)</f>
        <v>0.22324829759999998</v>
      </c>
      <c r="I191" s="15" cm="1">
        <f t="array" ref="I191">MMS_Poultry_ManureAppliedToSoils_Equations.VEERG_4_6_1_9__1_MassOfNitrogenAppliedToSoilsScope1(I24,_xlfn.XLOOKUP($E191, $D$41:$D$49,$E$41:$E$49), _xlfn.XLOOKUP($E191, $D$54:$D$62,$E$54:$E$62), I69,$F172)</f>
        <v>0.19018447920000001</v>
      </c>
      <c r="J191" s="16"/>
      <c r="N191" s="15"/>
      <c r="O191" s="15" t="str">
        <f>INDEX(X_Table_Poultry_Stage2MMS_PoultryManureWithBedding,4,1)</f>
        <v>Digester / covered lagoons</v>
      </c>
      <c r="P191" s="15" cm="1">
        <f t="array" ref="P191">MMS_Poultry_ManureAppliedToSoils_Equations.VEERG_4_6_1_9__1_MassOfNitrogenAppliedToSoilsScope1(P24,_xlfn.XLOOKUP($O191, $D$41:$D$49,$E$41:$E$49), _xlfn.XLOOKUP($O191, $D$54:$D$62,$E$54:$E$62), P69,$F172)</f>
        <v>0.17817789600000003</v>
      </c>
      <c r="Q191" s="15" cm="1">
        <f t="array" ref="Q191">MMS_Poultry_ManureAppliedToSoils_Equations.VEERG_4_6_1_9__1_MassOfNitrogenAppliedToSoilsScope1(Q24,_xlfn.XLOOKUP($O191, $D$41:$D$49,$E$41:$E$49), _xlfn.XLOOKUP($O191, $D$54:$D$62,$E$54:$E$62), Q69,$F172)</f>
        <v>0.19018447920000001</v>
      </c>
      <c r="R191" s="15" cm="1">
        <f t="array" ref="R191">MMS_Poultry_ManureAppliedToSoils_Equations.VEERG_4_6_1_9__1_MassOfNitrogenAppliedToSoilsScope1(R24,_xlfn.XLOOKUP($O191, $D$41:$D$49,$E$41:$E$49), _xlfn.XLOOKUP($O191, $D$54:$D$62,$E$54:$E$62), R69,$F172)</f>
        <v>0.22324829759999998</v>
      </c>
      <c r="S191" s="15" cm="1">
        <f t="array" ref="S191">MMS_Poultry_ManureAppliedToSoils_Equations.VEERG_4_6_1_9__1_MassOfNitrogenAppliedToSoilsScope1(S24,_xlfn.XLOOKUP($O191, $D$41:$D$49,$E$41:$E$49), _xlfn.XLOOKUP($O191, $D$54:$D$62,$E$54:$E$62), S69,$F172)</f>
        <v>0.19018447920000001</v>
      </c>
      <c r="T191" s="16"/>
    </row>
    <row r="192" spans="1:20" ht="20.100000000000001" customHeight="1" x14ac:dyDescent="0.2">
      <c r="D192" s="15"/>
      <c r="E192" s="15" t="str">
        <f>INDEX(X_Table_Poultry_Stage2MMS_PoultryManureWithBedding,5,1)</f>
        <v>Direct processing</v>
      </c>
      <c r="F192" s="15" cm="1">
        <f t="array" ref="F192">MMS_Poultry_ManureAppliedToSoils_Equations.VEERG_4_6_1_9__1_MassOfNitrogenAppliedToSoilsScope1(F25,_xlfn.XLOOKUP($E192, $D$41:$D$49,$E$41:$E$49), _xlfn.XLOOKUP($E192, $D$54:$D$62,$E$54:$E$62), F70,$F173)</f>
        <v>0.17817789600000003</v>
      </c>
      <c r="G192" s="15" cm="1">
        <f t="array" ref="G192">MMS_Poultry_ManureAppliedToSoils_Equations.VEERG_4_6_1_9__1_MassOfNitrogenAppliedToSoilsScope1(G25,_xlfn.XLOOKUP($E192, $D$41:$D$49,$E$41:$E$49), _xlfn.XLOOKUP($E192, $D$54:$D$62,$E$54:$E$62), G70,$F173)</f>
        <v>0.19018447920000001</v>
      </c>
      <c r="H192" s="15" cm="1">
        <f t="array" ref="H192">MMS_Poultry_ManureAppliedToSoils_Equations.VEERG_4_6_1_9__1_MassOfNitrogenAppliedToSoilsScope1(H25,_xlfn.XLOOKUP($E192, $D$41:$D$49,$E$41:$E$49), _xlfn.XLOOKUP($E192, $D$54:$D$62,$E$54:$E$62), H70,$F173)</f>
        <v>0.22324829759999998</v>
      </c>
      <c r="I192" s="15" cm="1">
        <f t="array" ref="I192">MMS_Poultry_ManureAppliedToSoils_Equations.VEERG_4_6_1_9__1_MassOfNitrogenAppliedToSoilsScope1(I25,_xlfn.XLOOKUP($E192, $D$41:$D$49,$E$41:$E$49), _xlfn.XLOOKUP($E192, $D$54:$D$62,$E$54:$E$62), I70,$F173)</f>
        <v>0.19018447920000001</v>
      </c>
      <c r="J192" s="16"/>
      <c r="N192" s="15"/>
      <c r="O192" s="15" t="str">
        <f>INDEX(X_Table_Poultry_Stage2MMS_PoultryManureWithBedding,5,1)</f>
        <v>Direct processing</v>
      </c>
      <c r="P192" s="15" cm="1">
        <f t="array" ref="P192">MMS_Poultry_ManureAppliedToSoils_Equations.VEERG_4_6_1_9__1_MassOfNitrogenAppliedToSoilsScope1(P25,_xlfn.XLOOKUP($O192, $D$41:$D$49,$E$41:$E$49), _xlfn.XLOOKUP($O192, $D$54:$D$62,$E$54:$E$62), P70,$F173)</f>
        <v>0.17817789600000003</v>
      </c>
      <c r="Q192" s="15" cm="1">
        <f t="array" ref="Q192">MMS_Poultry_ManureAppliedToSoils_Equations.VEERG_4_6_1_9__1_MassOfNitrogenAppliedToSoilsScope1(Q25,_xlfn.XLOOKUP($O192, $D$41:$D$49,$E$41:$E$49), _xlfn.XLOOKUP($O192, $D$54:$D$62,$E$54:$E$62), Q70,$F173)</f>
        <v>0.19018447920000001</v>
      </c>
      <c r="R192" s="15" cm="1">
        <f t="array" ref="R192">MMS_Poultry_ManureAppliedToSoils_Equations.VEERG_4_6_1_9__1_MassOfNitrogenAppliedToSoilsScope1(R25,_xlfn.XLOOKUP($O192, $D$41:$D$49,$E$41:$E$49), _xlfn.XLOOKUP($O192, $D$54:$D$62,$E$54:$E$62), R70,$F173)</f>
        <v>0.22324829759999998</v>
      </c>
      <c r="S192" s="15" cm="1">
        <f t="array" ref="S192">MMS_Poultry_ManureAppliedToSoils_Equations.VEERG_4_6_1_9__1_MassOfNitrogenAppliedToSoilsScope1(S25,_xlfn.XLOOKUP($O192, $D$41:$D$49,$E$41:$E$49), _xlfn.XLOOKUP($O192, $D$54:$D$62,$E$54:$E$62), S70,$F173)</f>
        <v>0.19018447920000001</v>
      </c>
      <c r="T192" s="16"/>
    </row>
    <row r="193" spans="4:20" ht="20.100000000000001" customHeight="1" x14ac:dyDescent="0.2">
      <c r="D193" s="15"/>
      <c r="E193" s="15" t="str">
        <f>INDEX(X_Table_Poultry_Stage2MMS_PoultryManureWithBedding,6,1)</f>
        <v>Direct application</v>
      </c>
      <c r="F193" s="15" cm="1">
        <f t="array" ref="F193">MMS_Poultry_ManureAppliedToSoils_Equations.VEERG_4_6_1_9__1_MassOfNitrogenAppliedToSoilsScope1(F26,_xlfn.XLOOKUP($E193, $D$41:$D$49,$E$41:$E$49), _xlfn.XLOOKUP($E193, $D$54:$D$62,$E$54:$E$62), F71,$F174)</f>
        <v>0</v>
      </c>
      <c r="G193" s="15" cm="1">
        <f t="array" ref="G193">MMS_Poultry_ManureAppliedToSoils_Equations.VEERG_4_6_1_9__1_MassOfNitrogenAppliedToSoilsScope1(G26,_xlfn.XLOOKUP($E193, $D$41:$D$49,$E$41:$E$49), _xlfn.XLOOKUP($E193, $D$54:$D$62,$E$54:$E$62), G71,$F174)</f>
        <v>0</v>
      </c>
      <c r="H193" s="15" cm="1">
        <f t="array" ref="H193">MMS_Poultry_ManureAppliedToSoils_Equations.VEERG_4_6_1_9__1_MassOfNitrogenAppliedToSoilsScope1(H26,_xlfn.XLOOKUP($E193, $D$41:$D$49,$E$41:$E$49), _xlfn.XLOOKUP($E193, $D$54:$D$62,$E$54:$E$62), H71,$F174)</f>
        <v>0</v>
      </c>
      <c r="I193" s="15" cm="1">
        <f t="array" ref="I193">MMS_Poultry_ManureAppliedToSoils_Equations.VEERG_4_6_1_9__1_MassOfNitrogenAppliedToSoilsScope1(I26,_xlfn.XLOOKUP($E193, $D$41:$D$49,$E$41:$E$49), _xlfn.XLOOKUP($E193, $D$54:$D$62,$E$54:$E$62), I71,$F174)</f>
        <v>0</v>
      </c>
      <c r="N193" s="15"/>
      <c r="O193" s="15" t="str">
        <f>INDEX(X_Table_Poultry_Stage2MMS_PoultryManureWithBedding,6,1)</f>
        <v>Direct application</v>
      </c>
      <c r="P193" s="15" cm="1">
        <f t="array" ref="P193">MMS_Poultry_ManureAppliedToSoils_Equations.VEERG_4_6_1_9__1_MassOfNitrogenAppliedToSoilsScope1(P26,_xlfn.XLOOKUP($O193, $D$41:$D$49,$E$41:$E$49), _xlfn.XLOOKUP($O193, $D$54:$D$62,$E$54:$E$62), P71,$F174)</f>
        <v>0</v>
      </c>
      <c r="Q193" s="15" cm="1">
        <f t="array" ref="Q193">MMS_Poultry_ManureAppliedToSoils_Equations.VEERG_4_6_1_9__1_MassOfNitrogenAppliedToSoilsScope1(Q26,_xlfn.XLOOKUP($O193, $D$41:$D$49,$E$41:$E$49), _xlfn.XLOOKUP($O193, $D$54:$D$62,$E$54:$E$62), Q71,$F174)</f>
        <v>0</v>
      </c>
      <c r="R193" s="15" cm="1">
        <f t="array" ref="R193">MMS_Poultry_ManureAppliedToSoils_Equations.VEERG_4_6_1_9__1_MassOfNitrogenAppliedToSoilsScope1(R26,_xlfn.XLOOKUP($O193, $D$41:$D$49,$E$41:$E$49), _xlfn.XLOOKUP($O193, $D$54:$D$62,$E$54:$E$62), R71,$F174)</f>
        <v>0</v>
      </c>
      <c r="S193" s="15" cm="1">
        <f t="array" ref="S193">MMS_Poultry_ManureAppliedToSoils_Equations.VEERG_4_6_1_9__1_MassOfNitrogenAppliedToSoilsScope1(S26,_xlfn.XLOOKUP($O193, $D$41:$D$49,$E$41:$E$49), _xlfn.XLOOKUP($O193, $D$54:$D$62,$E$54:$E$62), S71,$F174)</f>
        <v>0</v>
      </c>
    </row>
    <row r="194" spans="4:20" ht="20.100000000000001" customHeight="1" x14ac:dyDescent="0.2">
      <c r="D194" s="15" t="str">
        <f>INDEX(X_Table_Poultry_Stage1MMS,3,1)</f>
        <v>Belt manure removal</v>
      </c>
      <c r="E194" s="15" t="str">
        <f>INDEX(X_Table_Poultry_Stage2MMS_BeltManureRemoval,2,1)</f>
        <v>Solid storage</v>
      </c>
      <c r="F194" s="15" cm="1">
        <f t="array" ref="F194">MMS_Poultry_ManureAppliedToSoils_Equations.VEERG_4_6_1_9__1_MassOfNitrogenAppliedToSoilsScope1(F27,_xlfn.XLOOKUP($E194, $D$41:$D$49,$E$41:$E$49), _xlfn.XLOOKUP($E194, $D$54:$D$62,$E$54:$E$62), F72,$F175)</f>
        <v>0.18747551940000004</v>
      </c>
      <c r="G194" s="15" cm="1">
        <f t="array" ref="G194">MMS_Poultry_ManureAppliedToSoils_Equations.VEERG_4_6_1_9__1_MassOfNitrogenAppliedToSoilsScope1(G27,_xlfn.XLOOKUP($E194, $D$41:$D$49,$E$41:$E$49), _xlfn.XLOOKUP($E194, $D$54:$D$62,$E$54:$E$62), G72,$F175)</f>
        <v>0.20010862637999999</v>
      </c>
      <c r="H194" s="15" cm="1">
        <f t="array" ref="H194">MMS_Poultry_ManureAppliedToSoils_Equations.VEERG_4_6_1_9__1_MassOfNitrogenAppliedToSoilsScope1(H27,_xlfn.XLOOKUP($E194, $D$41:$D$49,$E$41:$E$49), _xlfn.XLOOKUP($E194, $D$54:$D$62,$E$54:$E$62), H72,$F175)</f>
        <v>0.23489777063999998</v>
      </c>
      <c r="I194" s="15" cm="1">
        <f t="array" ref="I194">MMS_Poultry_ManureAppliedToSoils_Equations.VEERG_4_6_1_9__1_MassOfNitrogenAppliedToSoilsScope1(I27,_xlfn.XLOOKUP($E194, $D$41:$D$49,$E$41:$E$49), _xlfn.XLOOKUP($E194, $D$54:$D$62,$E$54:$E$62), I72,$F175)</f>
        <v>0.20010862637999999</v>
      </c>
      <c r="J194" s="16"/>
      <c r="N194" s="15" t="str">
        <f>INDEX(X_Table_Poultry_Stage1MMS,3,1)</f>
        <v>Belt manure removal</v>
      </c>
      <c r="O194" s="15" t="str">
        <f>INDEX(X_Table_Poultry_Stage2MMS_BeltManureRemoval,2,1)</f>
        <v>Solid storage</v>
      </c>
      <c r="P194" s="15" cm="1">
        <f t="array" ref="P194">MMS_Poultry_ManureAppliedToSoils_Equations.VEERG_4_6_1_9__1_MassOfNitrogenAppliedToSoilsScope1(P27,_xlfn.XLOOKUP($O194, $D$41:$D$49,$E$41:$E$49), _xlfn.XLOOKUP($O194, $D$54:$D$62,$E$54:$E$62), P72,$F175)</f>
        <v>0.18747551940000004</v>
      </c>
      <c r="Q194" s="15" cm="1">
        <f t="array" ref="Q194">MMS_Poultry_ManureAppliedToSoils_Equations.VEERG_4_6_1_9__1_MassOfNitrogenAppliedToSoilsScope1(Q27,_xlfn.XLOOKUP($O194, $D$41:$D$49,$E$41:$E$49), _xlfn.XLOOKUP($O194, $D$54:$D$62,$E$54:$E$62), Q72,$F175)</f>
        <v>0.20010862637999999</v>
      </c>
      <c r="R194" s="15" cm="1">
        <f t="array" ref="R194">MMS_Poultry_ManureAppliedToSoils_Equations.VEERG_4_6_1_9__1_MassOfNitrogenAppliedToSoilsScope1(R27,_xlfn.XLOOKUP($O194, $D$41:$D$49,$E$41:$E$49), _xlfn.XLOOKUP($O194, $D$54:$D$62,$E$54:$E$62), R72,$F175)</f>
        <v>0.23489777063999998</v>
      </c>
      <c r="S194" s="15" cm="1">
        <f t="array" ref="S194">MMS_Poultry_ManureAppliedToSoils_Equations.VEERG_4_6_1_9__1_MassOfNitrogenAppliedToSoilsScope1(S27,_xlfn.XLOOKUP($O194, $D$41:$D$49,$E$41:$E$49), _xlfn.XLOOKUP($O194, $D$54:$D$62,$E$54:$E$62), S72,$F175)</f>
        <v>0.20010862637999999</v>
      </c>
      <c r="T194" s="16"/>
    </row>
    <row r="195" spans="4:20" ht="20.100000000000001" customHeight="1" x14ac:dyDescent="0.2">
      <c r="D195" s="15"/>
      <c r="E195" s="15" t="str">
        <f>INDEX(X_Table_Poultry_Stage2MMS_BeltManureRemoval,3,1)</f>
        <v>Composting (passive windrow)</v>
      </c>
      <c r="F195" s="15" cm="1">
        <f t="array" ref="F195">MMS_Poultry_ManureAppliedToSoils_Equations.VEERG_4_6_1_9__1_MassOfNitrogenAppliedToSoilsScope1(F28,_xlfn.XLOOKUP($E195, $D$41:$D$49,$E$41:$E$49), _xlfn.XLOOKUP($E195, $D$54:$D$62,$E$54:$E$62), F73,$F176)</f>
        <v>0.19110407784000005</v>
      </c>
      <c r="G195" s="15" cm="1">
        <f t="array" ref="G195">MMS_Poultry_ManureAppliedToSoils_Equations.VEERG_4_6_1_9__1_MassOfNitrogenAppliedToSoilsScope1(G28,_xlfn.XLOOKUP($E195, $D$41:$D$49,$E$41:$E$49), _xlfn.XLOOKUP($E195, $D$54:$D$62,$E$54:$E$62), G73,$F176)</f>
        <v>0.20398169656800003</v>
      </c>
      <c r="H195" s="15" cm="1">
        <f t="array" ref="H195">MMS_Poultry_ManureAppliedToSoils_Equations.VEERG_4_6_1_9__1_MassOfNitrogenAppliedToSoilsScope1(H28,_xlfn.XLOOKUP($E195, $D$41:$D$49,$E$41:$E$49), _xlfn.XLOOKUP($E195, $D$54:$D$62,$E$54:$E$62), H73,$F176)</f>
        <v>0.23944417910400001</v>
      </c>
      <c r="I195" s="15" cm="1">
        <f t="array" ref="I195">MMS_Poultry_ManureAppliedToSoils_Equations.VEERG_4_6_1_9__1_MassOfNitrogenAppliedToSoilsScope1(I28,_xlfn.XLOOKUP($E195, $D$41:$D$49,$E$41:$E$49), _xlfn.XLOOKUP($E195, $D$54:$D$62,$E$54:$E$62), I73,$F176)</f>
        <v>0.20398169656800003</v>
      </c>
      <c r="J195" s="16"/>
      <c r="N195" s="15"/>
      <c r="O195" s="15" t="str">
        <f>INDEX(X_Table_Poultry_Stage2MMS_BeltManureRemoval,3,1)</f>
        <v>Composting (passive windrow)</v>
      </c>
      <c r="P195" s="15" cm="1">
        <f t="array" ref="P195">MMS_Poultry_ManureAppliedToSoils_Equations.VEERG_4_6_1_9__1_MassOfNitrogenAppliedToSoilsScope1(P28,_xlfn.XLOOKUP($O195, $D$41:$D$49,$E$41:$E$49), _xlfn.XLOOKUP($O195, $D$54:$D$62,$E$54:$E$62), P73,$F176)</f>
        <v>0.19110407784000005</v>
      </c>
      <c r="Q195" s="15" cm="1">
        <f t="array" ref="Q195">MMS_Poultry_ManureAppliedToSoils_Equations.VEERG_4_6_1_9__1_MassOfNitrogenAppliedToSoilsScope1(Q28,_xlfn.XLOOKUP($O195, $D$41:$D$49,$E$41:$E$49), _xlfn.XLOOKUP($O195, $D$54:$D$62,$E$54:$E$62), Q73,$F176)</f>
        <v>0.20398169656800003</v>
      </c>
      <c r="R195" s="15" cm="1">
        <f t="array" ref="R195">MMS_Poultry_ManureAppliedToSoils_Equations.VEERG_4_6_1_9__1_MassOfNitrogenAppliedToSoilsScope1(R28,_xlfn.XLOOKUP($O195, $D$41:$D$49,$E$41:$E$49), _xlfn.XLOOKUP($O195, $D$54:$D$62,$E$54:$E$62), R73,$F176)</f>
        <v>0.23944417910400001</v>
      </c>
      <c r="S195" s="15" cm="1">
        <f t="array" ref="S195">MMS_Poultry_ManureAppliedToSoils_Equations.VEERG_4_6_1_9__1_MassOfNitrogenAppliedToSoilsScope1(S28,_xlfn.XLOOKUP($O195, $D$41:$D$49,$E$41:$E$49), _xlfn.XLOOKUP($O195, $D$54:$D$62,$E$54:$E$62), S73,$F176)</f>
        <v>0.20398169656800003</v>
      </c>
      <c r="T195" s="16"/>
    </row>
    <row r="196" spans="4:20" ht="20.100000000000001" customHeight="1" x14ac:dyDescent="0.2">
      <c r="D196" s="15"/>
      <c r="E196" s="15" t="str">
        <f>INDEX(X_Table_Poultry_Stage2MMS_BeltManureRemoval,4,1)</f>
        <v>Digester / covered lagoons</v>
      </c>
      <c r="F196" s="15" cm="1">
        <f t="array" ref="F196">MMS_Poultry_ManureAppliedToSoils_Equations.VEERG_4_6_1_9__1_MassOfNitrogenAppliedToSoilsScope1(F29,_xlfn.XLOOKUP($E196, $D$41:$D$49,$E$41:$E$49), _xlfn.XLOOKUP($E196, $D$54:$D$62,$E$54:$E$62), F74,$F177)</f>
        <v>0.24190389600000006</v>
      </c>
      <c r="G196" s="15" cm="1">
        <f t="array" ref="G196">MMS_Poultry_ManureAppliedToSoils_Equations.VEERG_4_6_1_9__1_MassOfNitrogenAppliedToSoilsScope1(G29,_xlfn.XLOOKUP($E196, $D$41:$D$49,$E$41:$E$49), _xlfn.XLOOKUP($E196, $D$54:$D$62,$E$54:$E$62), G74,$F177)</f>
        <v>0.25820467920000001</v>
      </c>
      <c r="H196" s="15" cm="1">
        <f t="array" ref="H196">MMS_Poultry_ManureAppliedToSoils_Equations.VEERG_4_6_1_9__1_MassOfNitrogenAppliedToSoilsScope1(H29,_xlfn.XLOOKUP($E196, $D$41:$D$49,$E$41:$E$49), _xlfn.XLOOKUP($E196, $D$54:$D$62,$E$54:$E$62), H74,$F177)</f>
        <v>0.3030938976</v>
      </c>
      <c r="I196" s="15" cm="1">
        <f t="array" ref="I196">MMS_Poultry_ManureAppliedToSoils_Equations.VEERG_4_6_1_9__1_MassOfNitrogenAppliedToSoilsScope1(I29,_xlfn.XLOOKUP($E196, $D$41:$D$49,$E$41:$E$49), _xlfn.XLOOKUP($E196, $D$54:$D$62,$E$54:$E$62), I74,$F177)</f>
        <v>0.25820467920000001</v>
      </c>
      <c r="J196" s="16"/>
      <c r="N196" s="15"/>
      <c r="O196" s="15" t="str">
        <f>INDEX(X_Table_Poultry_Stage2MMS_BeltManureRemoval,4,1)</f>
        <v>Digester / covered lagoons</v>
      </c>
      <c r="P196" s="15" cm="1">
        <f t="array" ref="P196">MMS_Poultry_ManureAppliedToSoils_Equations.VEERG_4_6_1_9__1_MassOfNitrogenAppliedToSoilsScope1(P29,_xlfn.XLOOKUP($O196, $D$41:$D$49,$E$41:$E$49), _xlfn.XLOOKUP($O196, $D$54:$D$62,$E$54:$E$62), P74,$F177)</f>
        <v>0.24190389600000006</v>
      </c>
      <c r="Q196" s="15" cm="1">
        <f t="array" ref="Q196">MMS_Poultry_ManureAppliedToSoils_Equations.VEERG_4_6_1_9__1_MassOfNitrogenAppliedToSoilsScope1(Q29,_xlfn.XLOOKUP($O196, $D$41:$D$49,$E$41:$E$49), _xlfn.XLOOKUP($O196, $D$54:$D$62,$E$54:$E$62), Q74,$F177)</f>
        <v>0.25820467920000001</v>
      </c>
      <c r="R196" s="15" cm="1">
        <f t="array" ref="R196">MMS_Poultry_ManureAppliedToSoils_Equations.VEERG_4_6_1_9__1_MassOfNitrogenAppliedToSoilsScope1(R29,_xlfn.XLOOKUP($O196, $D$41:$D$49,$E$41:$E$49), _xlfn.XLOOKUP($O196, $D$54:$D$62,$E$54:$E$62), R74,$F177)</f>
        <v>0.3030938976</v>
      </c>
      <c r="S196" s="15" cm="1">
        <f t="array" ref="S196">MMS_Poultry_ManureAppliedToSoils_Equations.VEERG_4_6_1_9__1_MassOfNitrogenAppliedToSoilsScope1(S29,_xlfn.XLOOKUP($O196, $D$41:$D$49,$E$41:$E$49), _xlfn.XLOOKUP($O196, $D$54:$D$62,$E$54:$E$62), S74,$F177)</f>
        <v>0.25820467920000001</v>
      </c>
      <c r="T196" s="16"/>
    </row>
    <row r="197" spans="4:20" ht="20.100000000000001" customHeight="1" x14ac:dyDescent="0.2">
      <c r="D197" s="15"/>
      <c r="E197" s="15" t="str">
        <f>INDEX(X_Table_Poultry_Stage2MMS_BeltManureRemoval,5,1)</f>
        <v>Direct processing</v>
      </c>
      <c r="F197" s="15" cm="1">
        <f t="array" ref="F197">MMS_Poultry_ManureAppliedToSoils_Equations.VEERG_4_6_1_9__1_MassOfNitrogenAppliedToSoilsScope1(F30,_xlfn.XLOOKUP($E197, $D$41:$D$49,$E$41:$E$49), _xlfn.XLOOKUP($E197, $D$54:$D$62,$E$54:$E$62), F75,$F178)</f>
        <v>0.24190389600000006</v>
      </c>
      <c r="G197" s="15" cm="1">
        <f t="array" ref="G197">MMS_Poultry_ManureAppliedToSoils_Equations.VEERG_4_6_1_9__1_MassOfNitrogenAppliedToSoilsScope1(G30,_xlfn.XLOOKUP($E197, $D$41:$D$49,$E$41:$E$49), _xlfn.XLOOKUP($E197, $D$54:$D$62,$E$54:$E$62), G75,$F178)</f>
        <v>0.25820467920000001</v>
      </c>
      <c r="H197" s="15" cm="1">
        <f t="array" ref="H197">MMS_Poultry_ManureAppliedToSoils_Equations.VEERG_4_6_1_9__1_MassOfNitrogenAppliedToSoilsScope1(H30,_xlfn.XLOOKUP($E197, $D$41:$D$49,$E$41:$E$49), _xlfn.XLOOKUP($E197, $D$54:$D$62,$E$54:$E$62), H75,$F178)</f>
        <v>0.3030938976</v>
      </c>
      <c r="I197" s="15" cm="1">
        <f t="array" ref="I197">MMS_Poultry_ManureAppliedToSoils_Equations.VEERG_4_6_1_9__1_MassOfNitrogenAppliedToSoilsScope1(I30,_xlfn.XLOOKUP($E197, $D$41:$D$49,$E$41:$E$49), _xlfn.XLOOKUP($E197, $D$54:$D$62,$E$54:$E$62), I75,$F178)</f>
        <v>0.25820467920000001</v>
      </c>
      <c r="J197" s="16"/>
      <c r="N197" s="15"/>
      <c r="O197" s="15" t="str">
        <f>INDEX(X_Table_Poultry_Stage2MMS_BeltManureRemoval,5,1)</f>
        <v>Direct processing</v>
      </c>
      <c r="P197" s="15" cm="1">
        <f t="array" ref="P197">MMS_Poultry_ManureAppliedToSoils_Equations.VEERG_4_6_1_9__1_MassOfNitrogenAppliedToSoilsScope1(P30,_xlfn.XLOOKUP($O197, $D$41:$D$49,$E$41:$E$49), _xlfn.XLOOKUP($O197, $D$54:$D$62,$E$54:$E$62), P75,$F178)</f>
        <v>0.24190389600000006</v>
      </c>
      <c r="Q197" s="15" cm="1">
        <f t="array" ref="Q197">MMS_Poultry_ManureAppliedToSoils_Equations.VEERG_4_6_1_9__1_MassOfNitrogenAppliedToSoilsScope1(Q30,_xlfn.XLOOKUP($O197, $D$41:$D$49,$E$41:$E$49), _xlfn.XLOOKUP($O197, $D$54:$D$62,$E$54:$E$62), Q75,$F178)</f>
        <v>0.25820467920000001</v>
      </c>
      <c r="R197" s="15" cm="1">
        <f t="array" ref="R197">MMS_Poultry_ManureAppliedToSoils_Equations.VEERG_4_6_1_9__1_MassOfNitrogenAppliedToSoilsScope1(R30,_xlfn.XLOOKUP($O197, $D$41:$D$49,$E$41:$E$49), _xlfn.XLOOKUP($O197, $D$54:$D$62,$E$54:$E$62), R75,$F178)</f>
        <v>0.3030938976</v>
      </c>
      <c r="S197" s="15" cm="1">
        <f t="array" ref="S197">MMS_Poultry_ManureAppliedToSoils_Equations.VEERG_4_6_1_9__1_MassOfNitrogenAppliedToSoilsScope1(S30,_xlfn.XLOOKUP($O197, $D$41:$D$49,$E$41:$E$49), _xlfn.XLOOKUP($O197, $D$54:$D$62,$E$54:$E$62), S75,$F178)</f>
        <v>0.25820467920000001</v>
      </c>
      <c r="T197" s="16"/>
    </row>
    <row r="198" spans="4:20" ht="20.100000000000001" customHeight="1" x14ac:dyDescent="0.2">
      <c r="D198" s="15"/>
      <c r="E198" s="15" t="str">
        <f>INDEX(X_Table_Poultry_Stage2MMS_BeltManureRemoval,6,1)</f>
        <v>Direct application</v>
      </c>
      <c r="F198" s="15" cm="1">
        <f t="array" ref="F198">MMS_Poultry_ManureAppliedToSoils_Equations.VEERG_4_6_1_9__1_MassOfNitrogenAppliedToSoilsScope1(F31,_xlfn.XLOOKUP($E198, $D$41:$D$49,$E$41:$E$49), _xlfn.XLOOKUP($E198, $D$54:$D$62,$E$54:$E$62), F76,$F179)</f>
        <v>0</v>
      </c>
      <c r="G198" s="15" cm="1">
        <f t="array" ref="G198">MMS_Poultry_ManureAppliedToSoils_Equations.VEERG_4_6_1_9__1_MassOfNitrogenAppliedToSoilsScope1(G31,_xlfn.XLOOKUP($E198, $D$41:$D$49,$E$41:$E$49), _xlfn.XLOOKUP($E198, $D$54:$D$62,$E$54:$E$62), G76,$F179)</f>
        <v>0</v>
      </c>
      <c r="H198" s="15" cm="1">
        <f t="array" ref="H198">MMS_Poultry_ManureAppliedToSoils_Equations.VEERG_4_6_1_9__1_MassOfNitrogenAppliedToSoilsScope1(H31,_xlfn.XLOOKUP($E198, $D$41:$D$49,$E$41:$E$49), _xlfn.XLOOKUP($E198, $D$54:$D$62,$E$54:$E$62), H76,$F179)</f>
        <v>0</v>
      </c>
      <c r="I198" s="15" cm="1">
        <f t="array" ref="I198">MMS_Poultry_ManureAppliedToSoils_Equations.VEERG_4_6_1_9__1_MassOfNitrogenAppliedToSoilsScope1(I31,_xlfn.XLOOKUP($E198, $D$41:$D$49,$E$41:$E$49), _xlfn.XLOOKUP($E198, $D$54:$D$62,$E$54:$E$62), I76,$F179)</f>
        <v>0</v>
      </c>
      <c r="N198" s="15"/>
      <c r="O198" s="15" t="str">
        <f>INDEX(X_Table_Poultry_Stage2MMS_BeltManureRemoval,6,1)</f>
        <v>Direct application</v>
      </c>
      <c r="P198" s="15" cm="1">
        <f t="array" ref="P198">MMS_Poultry_ManureAppliedToSoils_Equations.VEERG_4_6_1_9__1_MassOfNitrogenAppliedToSoilsScope1(P31,_xlfn.XLOOKUP($O198, $D$41:$D$49,$E$41:$E$49), _xlfn.XLOOKUP($O198, $D$54:$D$62,$E$54:$E$62), P76,$F179)</f>
        <v>0</v>
      </c>
      <c r="Q198" s="15" cm="1">
        <f t="array" ref="Q198">MMS_Poultry_ManureAppliedToSoils_Equations.VEERG_4_6_1_9__1_MassOfNitrogenAppliedToSoilsScope1(Q31,_xlfn.XLOOKUP($O198, $D$41:$D$49,$E$41:$E$49), _xlfn.XLOOKUP($O198, $D$54:$D$62,$E$54:$E$62), Q76,$F179)</f>
        <v>0</v>
      </c>
      <c r="R198" s="15" cm="1">
        <f t="array" ref="R198">MMS_Poultry_ManureAppliedToSoils_Equations.VEERG_4_6_1_9__1_MassOfNitrogenAppliedToSoilsScope1(R31,_xlfn.XLOOKUP($O198, $D$41:$D$49,$E$41:$E$49), _xlfn.XLOOKUP($O198, $D$54:$D$62,$E$54:$E$62), R76,$F179)</f>
        <v>0</v>
      </c>
      <c r="S198" s="15" cm="1">
        <f t="array" ref="S198">MMS_Poultry_ManureAppliedToSoils_Equations.VEERG_4_6_1_9__1_MassOfNitrogenAppliedToSoilsScope1(S31,_xlfn.XLOOKUP($O198, $D$41:$D$49,$E$41:$E$49), _xlfn.XLOOKUP($O198, $D$54:$D$62,$E$54:$E$62), S76,$F179)</f>
        <v>0</v>
      </c>
    </row>
    <row r="199" spans="4:20" ht="20.100000000000001" customHeight="1" x14ac:dyDescent="0.2">
      <c r="D199" s="15" t="str">
        <f>INDEX(X_Table_Poultry_Stage1MMS,4,1)</f>
        <v>Manure stored in house</v>
      </c>
      <c r="E199" s="15" t="str">
        <f>INDEX(X_Table_Poultry_Stage2MMS_ManureStoredInHouse,2,1)</f>
        <v>Solid storage</v>
      </c>
      <c r="F199" s="15" cm="1">
        <f t="array" ref="F199">MMS_Poultry_ManureAppliedToSoils_Equations.VEERG_4_6_1_9__1_MassOfNitrogenAppliedToSoilsScope1(F32,_xlfn.XLOOKUP($E199, $D$41:$D$49,$E$41:$E$49), _xlfn.XLOOKUP($E199, $D$54:$D$62,$E$54:$E$62), F77,$F180)</f>
        <v>0.11833280940000002</v>
      </c>
      <c r="G199" s="15" cm="1">
        <f t="array" ref="G199">MMS_Poultry_ManureAppliedToSoils_Equations.VEERG_4_6_1_9__1_MassOfNitrogenAppliedToSoilsScope1(G32,_xlfn.XLOOKUP($E199, $D$41:$D$49,$E$41:$E$49), _xlfn.XLOOKUP($E199, $D$54:$D$62,$E$54:$E$62), G77,$F180)</f>
        <v>0.12630670937999997</v>
      </c>
      <c r="H199" s="15" cm="1">
        <f t="array" ref="H199">MMS_Poultry_ManureAppliedToSoils_Equations.VEERG_4_6_1_9__1_MassOfNitrogenAppliedToSoilsScope1(H32,_xlfn.XLOOKUP($E199, $D$41:$D$49,$E$41:$E$49), _xlfn.XLOOKUP($E199, $D$54:$D$62,$E$54:$E$62), H77,$F180)</f>
        <v>0.14826529463999996</v>
      </c>
      <c r="I199" s="15" cm="1">
        <f t="array" ref="I199">MMS_Poultry_ManureAppliedToSoils_Equations.VEERG_4_6_1_9__1_MassOfNitrogenAppliedToSoilsScope1(I32,_xlfn.XLOOKUP($E199, $D$41:$D$49,$E$41:$E$49), _xlfn.XLOOKUP($E199, $D$54:$D$62,$E$54:$E$62), I77,$F180)</f>
        <v>0.12630670937999997</v>
      </c>
      <c r="J199" s="16"/>
      <c r="N199" s="15" t="str">
        <f>INDEX(X_Table_Poultry_Stage1MMS,4,1)</f>
        <v>Manure stored in house</v>
      </c>
      <c r="O199" s="15" t="str">
        <f>INDEX(X_Table_Poultry_Stage2MMS_ManureStoredInHouse,2,1)</f>
        <v>Solid storage</v>
      </c>
      <c r="P199" s="15" cm="1">
        <f t="array" ref="P199">MMS_Poultry_ManureAppliedToSoils_Equations.VEERG_4_6_1_9__1_MassOfNitrogenAppliedToSoilsScope1(P32,_xlfn.XLOOKUP($O199, $D$41:$D$49,$E$41:$E$49), _xlfn.XLOOKUP($O199, $D$54:$D$62,$E$54:$E$62), P77,$F180)</f>
        <v>0.11833280940000002</v>
      </c>
      <c r="Q199" s="15" cm="1">
        <f t="array" ref="Q199">MMS_Poultry_ManureAppliedToSoils_Equations.VEERG_4_6_1_9__1_MassOfNitrogenAppliedToSoilsScope1(Q32,_xlfn.XLOOKUP($O199, $D$41:$D$49,$E$41:$E$49), _xlfn.XLOOKUP($O199, $D$54:$D$62,$E$54:$E$62), Q77,$F180)</f>
        <v>0.12630670937999997</v>
      </c>
      <c r="R199" s="15" cm="1">
        <f t="array" ref="R199">MMS_Poultry_ManureAppliedToSoils_Equations.VEERG_4_6_1_9__1_MassOfNitrogenAppliedToSoilsScope1(R32,_xlfn.XLOOKUP($O199, $D$41:$D$49,$E$41:$E$49), _xlfn.XLOOKUP($O199, $D$54:$D$62,$E$54:$E$62), R77,$F180)</f>
        <v>0.14826529463999996</v>
      </c>
      <c r="S199" s="15" cm="1">
        <f t="array" ref="S199">MMS_Poultry_ManureAppliedToSoils_Equations.VEERG_4_6_1_9__1_MassOfNitrogenAppliedToSoilsScope1(S32,_xlfn.XLOOKUP($O199, $D$41:$D$49,$E$41:$E$49), _xlfn.XLOOKUP($O199, $D$54:$D$62,$E$54:$E$62), S77,$F180)</f>
        <v>0.12630670937999997</v>
      </c>
      <c r="T199" s="16"/>
    </row>
    <row r="200" spans="4:20" ht="20.100000000000001" customHeight="1" x14ac:dyDescent="0.2">
      <c r="D200" s="15"/>
      <c r="E200" s="15" t="str">
        <f>INDEX(X_Table_Poultry_Stage2MMS_ManureStoredInHouse,3,1)</f>
        <v>Composting (passive windrow)</v>
      </c>
      <c r="F200" s="15" cm="1">
        <f t="array" ref="F200">MMS_Poultry_ManureAppliedToSoils_Equations.VEERG_4_6_1_9__1_MassOfNitrogenAppliedToSoilsScope1(F33,_xlfn.XLOOKUP($E200, $D$41:$D$49,$E$41:$E$49), _xlfn.XLOOKUP($E200, $D$54:$D$62,$E$54:$E$62), F78,$F181)</f>
        <v>0.12062312184000003</v>
      </c>
      <c r="G200" s="15" cm="1">
        <f t="array" ref="G200">MMS_Poultry_ManureAppliedToSoils_Equations.VEERG_4_6_1_9__1_MassOfNitrogenAppliedToSoilsScope1(G33,_xlfn.XLOOKUP($E200, $D$41:$D$49,$E$41:$E$49), _xlfn.XLOOKUP($E200, $D$54:$D$62,$E$54:$E$62), G78,$F181)</f>
        <v>0.128751355368</v>
      </c>
      <c r="H200" s="15" cm="1">
        <f t="array" ref="H200">MMS_Poultry_ManureAppliedToSoils_Equations.VEERG_4_6_1_9__1_MassOfNitrogenAppliedToSoilsScope1(H33,_xlfn.XLOOKUP($E200, $D$41:$D$49,$E$41:$E$49), _xlfn.XLOOKUP($E200, $D$54:$D$62,$E$54:$E$62), H78,$F181)</f>
        <v>0.15113494550399997</v>
      </c>
      <c r="I200" s="15" cm="1">
        <f t="array" ref="I200">MMS_Poultry_ManureAppliedToSoils_Equations.VEERG_4_6_1_9__1_MassOfNitrogenAppliedToSoilsScope1(I33,_xlfn.XLOOKUP($E200, $D$41:$D$49,$E$41:$E$49), _xlfn.XLOOKUP($E200, $D$54:$D$62,$E$54:$E$62), I78,$F181)</f>
        <v>0.128751355368</v>
      </c>
      <c r="J200" s="16"/>
      <c r="N200" s="15"/>
      <c r="O200" s="15" t="str">
        <f>INDEX(X_Table_Poultry_Stage2MMS_ManureStoredInHouse,3,1)</f>
        <v>Composting (passive windrow)</v>
      </c>
      <c r="P200" s="15" cm="1">
        <f t="array" ref="P200">MMS_Poultry_ManureAppliedToSoils_Equations.VEERG_4_6_1_9__1_MassOfNitrogenAppliedToSoilsScope1(P33,_xlfn.XLOOKUP($O200, $D$41:$D$49,$E$41:$E$49), _xlfn.XLOOKUP($O200, $D$54:$D$62,$E$54:$E$62), P78,$F181)</f>
        <v>0.12062312184000003</v>
      </c>
      <c r="Q200" s="15" cm="1">
        <f t="array" ref="Q200">MMS_Poultry_ManureAppliedToSoils_Equations.VEERG_4_6_1_9__1_MassOfNitrogenAppliedToSoilsScope1(Q33,_xlfn.XLOOKUP($O200, $D$41:$D$49,$E$41:$E$49), _xlfn.XLOOKUP($O200, $D$54:$D$62,$E$54:$E$62), Q78,$F181)</f>
        <v>0.128751355368</v>
      </c>
      <c r="R200" s="15" cm="1">
        <f t="array" ref="R200">MMS_Poultry_ManureAppliedToSoils_Equations.VEERG_4_6_1_9__1_MassOfNitrogenAppliedToSoilsScope1(R33,_xlfn.XLOOKUP($O200, $D$41:$D$49,$E$41:$E$49), _xlfn.XLOOKUP($O200, $D$54:$D$62,$E$54:$E$62), R78,$F181)</f>
        <v>0.15113494550399997</v>
      </c>
      <c r="S200" s="15" cm="1">
        <f t="array" ref="S200">MMS_Poultry_ManureAppliedToSoils_Equations.VEERG_4_6_1_9__1_MassOfNitrogenAppliedToSoilsScope1(S33,_xlfn.XLOOKUP($O200, $D$41:$D$49,$E$41:$E$49), _xlfn.XLOOKUP($O200, $D$54:$D$62,$E$54:$E$62), S78,$F181)</f>
        <v>0.128751355368</v>
      </c>
      <c r="T200" s="16"/>
    </row>
    <row r="201" spans="4:20" ht="20.100000000000001" customHeight="1" x14ac:dyDescent="0.2">
      <c r="D201" s="15"/>
      <c r="E201" s="15" t="str">
        <f>INDEX(X_Table_Poultry_Stage2MMS_ManureStoredInHouse,4,1)</f>
        <v>Digester / covered lagoons</v>
      </c>
      <c r="F201" s="15" cm="1">
        <f t="array" ref="F201">MMS_Poultry_ManureAppliedToSoils_Equations.VEERG_4_6_1_9__1_MassOfNitrogenAppliedToSoilsScope1(F34,_xlfn.XLOOKUP($E201, $D$41:$D$49,$E$41:$E$49), _xlfn.XLOOKUP($E201, $D$54:$D$62,$E$54:$E$62), F79,$F182)</f>
        <v>0.15268749600000003</v>
      </c>
      <c r="G201" s="15" cm="1">
        <f t="array" ref="G201">MMS_Poultry_ManureAppliedToSoils_Equations.VEERG_4_6_1_9__1_MassOfNitrogenAppliedToSoilsScope1(G34,_xlfn.XLOOKUP($E201, $D$41:$D$49,$E$41:$E$49), _xlfn.XLOOKUP($E201, $D$54:$D$62,$E$54:$E$62), G79,$F182)</f>
        <v>0.16297639919999998</v>
      </c>
      <c r="H201" s="15" cm="1">
        <f t="array" ref="H201">MMS_Poultry_ManureAppliedToSoils_Equations.VEERG_4_6_1_9__1_MassOfNitrogenAppliedToSoilsScope1(H34,_xlfn.XLOOKUP($E201, $D$41:$D$49,$E$41:$E$49), _xlfn.XLOOKUP($E201, $D$54:$D$62,$E$54:$E$62), H79,$F182)</f>
        <v>0.19131005759999997</v>
      </c>
      <c r="I201" s="15" cm="1">
        <f t="array" ref="I201">MMS_Poultry_ManureAppliedToSoils_Equations.VEERG_4_6_1_9__1_MassOfNitrogenAppliedToSoilsScope1(I34,_xlfn.XLOOKUP($E201, $D$41:$D$49,$E$41:$E$49), _xlfn.XLOOKUP($E201, $D$54:$D$62,$E$54:$E$62), I79,$F182)</f>
        <v>0.16297639919999998</v>
      </c>
      <c r="J201" s="16"/>
      <c r="N201" s="15"/>
      <c r="O201" s="15" t="str">
        <f>INDEX(X_Table_Poultry_Stage2MMS_ManureStoredInHouse,4,1)</f>
        <v>Digester / covered lagoons</v>
      </c>
      <c r="P201" s="15" cm="1">
        <f t="array" ref="P201">MMS_Poultry_ManureAppliedToSoils_Equations.VEERG_4_6_1_9__1_MassOfNitrogenAppliedToSoilsScope1(P34,_xlfn.XLOOKUP($O201, $D$41:$D$49,$E$41:$E$49), _xlfn.XLOOKUP($O201, $D$54:$D$62,$E$54:$E$62), P79,$F182)</f>
        <v>0.15268749600000003</v>
      </c>
      <c r="Q201" s="15" cm="1">
        <f t="array" ref="Q201">MMS_Poultry_ManureAppliedToSoils_Equations.VEERG_4_6_1_9__1_MassOfNitrogenAppliedToSoilsScope1(Q34,_xlfn.XLOOKUP($O201, $D$41:$D$49,$E$41:$E$49), _xlfn.XLOOKUP($O201, $D$54:$D$62,$E$54:$E$62), Q79,$F182)</f>
        <v>0.16297639919999998</v>
      </c>
      <c r="R201" s="15" cm="1">
        <f t="array" ref="R201">MMS_Poultry_ManureAppliedToSoils_Equations.VEERG_4_6_1_9__1_MassOfNitrogenAppliedToSoilsScope1(R34,_xlfn.XLOOKUP($O201, $D$41:$D$49,$E$41:$E$49), _xlfn.XLOOKUP($O201, $D$54:$D$62,$E$54:$E$62), R79,$F182)</f>
        <v>0.19131005759999997</v>
      </c>
      <c r="S201" s="15" cm="1">
        <f t="array" ref="S201">MMS_Poultry_ManureAppliedToSoils_Equations.VEERG_4_6_1_9__1_MassOfNitrogenAppliedToSoilsScope1(S34,_xlfn.XLOOKUP($O201, $D$41:$D$49,$E$41:$E$49), _xlfn.XLOOKUP($O201, $D$54:$D$62,$E$54:$E$62), S79,$F182)</f>
        <v>0.16297639919999998</v>
      </c>
      <c r="T201" s="16"/>
    </row>
    <row r="202" spans="4:20" ht="20.100000000000001" customHeight="1" x14ac:dyDescent="0.2">
      <c r="D202" s="15"/>
      <c r="E202" s="15" t="str">
        <f>INDEX(X_Table_Poultry_Stage2MMS_ManureStoredInHouse,5,1)</f>
        <v>Direct processing</v>
      </c>
      <c r="F202" s="15" cm="1">
        <f t="array" ref="F202">MMS_Poultry_ManureAppliedToSoils_Equations.VEERG_4_6_1_9__1_MassOfNitrogenAppliedToSoilsScope1(F35,_xlfn.XLOOKUP($E202, $D$41:$D$49,$E$41:$E$49), _xlfn.XLOOKUP($E202, $D$54:$D$62,$E$54:$E$62), F80,$F183)</f>
        <v>0.15268749600000003</v>
      </c>
      <c r="G202" s="15" cm="1">
        <f t="array" ref="G202">MMS_Poultry_ManureAppliedToSoils_Equations.VEERG_4_6_1_9__1_MassOfNitrogenAppliedToSoilsScope1(G35,_xlfn.XLOOKUP($E202, $D$41:$D$49,$E$41:$E$49), _xlfn.XLOOKUP($E202, $D$54:$D$62,$E$54:$E$62), G80,$F183)</f>
        <v>0.16297639919999998</v>
      </c>
      <c r="H202" s="15" cm="1">
        <f t="array" ref="H202">MMS_Poultry_ManureAppliedToSoils_Equations.VEERG_4_6_1_9__1_MassOfNitrogenAppliedToSoilsScope1(H35,_xlfn.XLOOKUP($E202, $D$41:$D$49,$E$41:$E$49), _xlfn.XLOOKUP($E202, $D$54:$D$62,$E$54:$E$62), H80,$F183)</f>
        <v>0.19131005759999997</v>
      </c>
      <c r="I202" s="15" cm="1">
        <f t="array" ref="I202">MMS_Poultry_ManureAppliedToSoils_Equations.VEERG_4_6_1_9__1_MassOfNitrogenAppliedToSoilsScope1(I35,_xlfn.XLOOKUP($E202, $D$41:$D$49,$E$41:$E$49), _xlfn.XLOOKUP($E202, $D$54:$D$62,$E$54:$E$62), I80,$F183)</f>
        <v>0.16297639919999998</v>
      </c>
      <c r="J202" s="16"/>
      <c r="N202" s="15"/>
      <c r="O202" s="15" t="str">
        <f>INDEX(X_Table_Poultry_Stage2MMS_ManureStoredInHouse,5,1)</f>
        <v>Direct processing</v>
      </c>
      <c r="P202" s="15" cm="1">
        <f t="array" ref="P202">MMS_Poultry_ManureAppliedToSoils_Equations.VEERG_4_6_1_9__1_MassOfNitrogenAppliedToSoilsScope1(P35,_xlfn.XLOOKUP($O202, $D$41:$D$49,$E$41:$E$49), _xlfn.XLOOKUP($O202, $D$54:$D$62,$E$54:$E$62), P80,$F183)</f>
        <v>0.15268749600000003</v>
      </c>
      <c r="Q202" s="15" cm="1">
        <f t="array" ref="Q202">MMS_Poultry_ManureAppliedToSoils_Equations.VEERG_4_6_1_9__1_MassOfNitrogenAppliedToSoilsScope1(Q35,_xlfn.XLOOKUP($O202, $D$41:$D$49,$E$41:$E$49), _xlfn.XLOOKUP($O202, $D$54:$D$62,$E$54:$E$62), Q80,$F183)</f>
        <v>0.16297639919999998</v>
      </c>
      <c r="R202" s="15" cm="1">
        <f t="array" ref="R202">MMS_Poultry_ManureAppliedToSoils_Equations.VEERG_4_6_1_9__1_MassOfNitrogenAppliedToSoilsScope1(R35,_xlfn.XLOOKUP($O202, $D$41:$D$49,$E$41:$E$49), _xlfn.XLOOKUP($O202, $D$54:$D$62,$E$54:$E$62), R80,$F183)</f>
        <v>0.19131005759999997</v>
      </c>
      <c r="S202" s="15" cm="1">
        <f t="array" ref="S202">MMS_Poultry_ManureAppliedToSoils_Equations.VEERG_4_6_1_9__1_MassOfNitrogenAppliedToSoilsScope1(S35,_xlfn.XLOOKUP($O202, $D$41:$D$49,$E$41:$E$49), _xlfn.XLOOKUP($O202, $D$54:$D$62,$E$54:$E$62), S80,$F183)</f>
        <v>0.16297639919999998</v>
      </c>
      <c r="T202" s="16"/>
    </row>
    <row r="203" spans="4:20" ht="20.100000000000001" customHeight="1" x14ac:dyDescent="0.2">
      <c r="D203" s="15"/>
      <c r="E203" s="15" t="str">
        <f>INDEX(X_Table_Poultry_Stage2MMS_ManureStoredInHouse,6,1)</f>
        <v>Direct application</v>
      </c>
      <c r="F203" s="15" cm="1">
        <f t="array" ref="F203">MMS_Poultry_ManureAppliedToSoils_Equations.VEERG_4_6_1_9__1_MassOfNitrogenAppliedToSoilsScope1(F36,_xlfn.XLOOKUP($E203, $D$41:$D$49,$E$41:$E$49), _xlfn.XLOOKUP($E203, $D$54:$D$62,$E$54:$E$62), F81,$F184)</f>
        <v>0</v>
      </c>
      <c r="G203" s="15" cm="1">
        <f t="array" ref="G203">MMS_Poultry_ManureAppliedToSoils_Equations.VEERG_4_6_1_9__1_MassOfNitrogenAppliedToSoilsScope1(G36,_xlfn.XLOOKUP($E203, $D$41:$D$49,$E$41:$E$49), _xlfn.XLOOKUP($E203, $D$54:$D$62,$E$54:$E$62), G81,$F184)</f>
        <v>0</v>
      </c>
      <c r="H203" s="15" cm="1">
        <f t="array" ref="H203">MMS_Poultry_ManureAppliedToSoils_Equations.VEERG_4_6_1_9__1_MassOfNitrogenAppliedToSoilsScope1(H36,_xlfn.XLOOKUP($E203, $D$41:$D$49,$E$41:$E$49), _xlfn.XLOOKUP($E203, $D$54:$D$62,$E$54:$E$62), H81,$F184)</f>
        <v>0</v>
      </c>
      <c r="I203" s="15" cm="1">
        <f t="array" ref="I203">MMS_Poultry_ManureAppliedToSoils_Equations.VEERG_4_6_1_9__1_MassOfNitrogenAppliedToSoilsScope1(I36,_xlfn.XLOOKUP($E203, $D$41:$D$49,$E$41:$E$49), _xlfn.XLOOKUP($E203, $D$54:$D$62,$E$54:$E$62), I81,$F184)</f>
        <v>0</v>
      </c>
      <c r="N203" s="15"/>
      <c r="O203" s="15" t="str">
        <f>INDEX(X_Table_Poultry_Stage2MMS_ManureStoredInHouse,6,1)</f>
        <v>Direct application</v>
      </c>
      <c r="P203" s="15" cm="1">
        <f t="array" ref="P203">MMS_Poultry_ManureAppliedToSoils_Equations.VEERG_4_6_1_9__1_MassOfNitrogenAppliedToSoilsScope1(P36,_xlfn.XLOOKUP($O203, $D$41:$D$49,$E$41:$E$49), _xlfn.XLOOKUP($O203, $D$54:$D$62,$E$54:$E$62), P81,$F184)</f>
        <v>0</v>
      </c>
      <c r="Q203" s="15" cm="1">
        <f t="array" ref="Q203">MMS_Poultry_ManureAppliedToSoils_Equations.VEERG_4_6_1_9__1_MassOfNitrogenAppliedToSoilsScope1(Q36,_xlfn.XLOOKUP($O203, $D$41:$D$49,$E$41:$E$49), _xlfn.XLOOKUP($O203, $D$54:$D$62,$E$54:$E$62), Q81,$F184)</f>
        <v>0</v>
      </c>
      <c r="R203" s="15" cm="1">
        <f t="array" ref="R203">MMS_Poultry_ManureAppliedToSoils_Equations.VEERG_4_6_1_9__1_MassOfNitrogenAppliedToSoilsScope1(R36,_xlfn.XLOOKUP($O203, $D$41:$D$49,$E$41:$E$49), _xlfn.XLOOKUP($O203, $D$54:$D$62,$E$54:$E$62), R81,$F184)</f>
        <v>0</v>
      </c>
      <c r="S203" s="15" cm="1">
        <f t="array" ref="S203">MMS_Poultry_ManureAppliedToSoils_Equations.VEERG_4_6_1_9__1_MassOfNitrogenAppliedToSoilsScope1(S36,_xlfn.XLOOKUP($O203, $D$41:$D$49,$E$41:$E$49), _xlfn.XLOOKUP($O203, $D$54:$D$62,$E$54:$E$62), S81,$F184)</f>
        <v>0</v>
      </c>
    </row>
    <row r="205" spans="4:20" ht="20.100000000000001" customHeight="1" x14ac:dyDescent="0.2">
      <c r="D205" s="85" t="s">
        <v>474</v>
      </c>
      <c r="E205" s="86">
        <f>SUM(F189:I203)</f>
        <v>8.9593892186400037</v>
      </c>
      <c r="F205" s="95" t="str">
        <f>$E$11</f>
        <v>kg N</v>
      </c>
      <c r="N205" s="85" t="s">
        <v>474</v>
      </c>
      <c r="O205" s="86">
        <f>SUM(P189:S203)</f>
        <v>8.9593892186400037</v>
      </c>
      <c r="P205" s="95" t="str">
        <f>$E$11</f>
        <v>kg N</v>
      </c>
    </row>
  </sheetData>
  <dataValidations count="1">
    <dataValidation operator="equal" allowBlank="1" showInputMessage="1" showErrorMessage="1" sqref="F20:I20 I19:J19 P20:S20 S19:T19 F65:I65 I64:J64 P65:S65 S64:T64 F84:I84 I83:J83 F103:I103 I102:J102 P103:S103 S102:T102 F140:I140 I139:J139 P140:S140 S139:T139 F187:I187 I186:J186 P187:S187 S186:T186" xr:uid="{882906C6-AB51-4AAF-9B4A-4E933A33C2FF}"/>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9AB62-4CF4-48C4-87A8-9EC045BEB4AF}">
  <sheetPr>
    <tabColor rgb="FF008000"/>
  </sheetPr>
  <dimension ref="A1:T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289</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tr" cm="1">
        <f t="array" ref="D5">MMS_Poultry_Soil_N2ODirect_Equations.VEERG_4_6_1_10__1_DirectNitrousOxideEmissionsFromPoultryManure_Title()</f>
        <v>Direct nitrous oxide emissions from poultry manure on pasture</v>
      </c>
    </row>
    <row r="6" spans="1:20" ht="20.100000000000001" customHeight="1" x14ac:dyDescent="0.2">
      <c r="D6" s="17" t="str" cm="1">
        <f t="array" ref="D6">MMS_Poultry_Soil_N2ODirect_Equations.VEERG_4_6_1_10__1_DirectNitrousOxideEmissionsFromPoultryManure_Source()</f>
        <v>VEERG 2026: 4.6.1.10, Equation (1)</v>
      </c>
    </row>
    <row r="7" spans="1:20" ht="20.100000000000001" customHeight="1" x14ac:dyDescent="0.2">
      <c r="D7" s="112" t="s">
        <v>328</v>
      </c>
      <c r="E7" s="112" t="str" cm="1">
        <f t="array" aca="1" ref="E7" ca="1">Common_InputFunctions.Utility_DisplayFunctionName(E25)</f>
        <v>=MMS_Poultry_Soil_N2ODirect_Equations.VEERG_4_6_1_10__1_DirectNitrousOxideEmissionsFromPoultryManure</v>
      </c>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329</v>
      </c>
      <c r="E10" s="1" t="str" cm="1">
        <f t="array" ref="E10">MMS_Poultry_Soil_N2ODirect_Equations.VEERG_4_6_1_10__1_DirectNitrousOxideEmissionsFromPoultryManure_Variable()</f>
        <v>EM_N2OPRPdir</v>
      </c>
    </row>
    <row r="11" spans="1:20" ht="20.100000000000001" customHeight="1" x14ac:dyDescent="0.2">
      <c r="A11" s="5" t="str">
        <f>HYPERLINK("#'Input - Poultry'!A1", "Poultry")</f>
        <v>Poultry</v>
      </c>
      <c r="D11" s="75" t="s">
        <v>118</v>
      </c>
      <c r="E11" s="9" t="str" cm="1">
        <f t="array" ref="E11">MMS_Poultry_Soil_N2ODirect_Equations.VEERG_4_6_1_10__1_DirectNitrousOxideEmissionsFromPoultryManure_Unit()</f>
        <v>t N2O</v>
      </c>
    </row>
    <row r="12" spans="1:20" ht="20.100000000000001" customHeight="1" x14ac:dyDescent="0.2">
      <c r="A12" s="5" t="str">
        <f>HYPERLINK("#'Input - Livestock sales'!A1", "Livestock sales")</f>
        <v>Livestock sales</v>
      </c>
    </row>
    <row r="13" spans="1:20" ht="20.100000000000001" customHeight="1" x14ac:dyDescent="0.2">
      <c r="A13" s="5" t="str">
        <f>HYPERLINK("#'Input - Poultry purchases'!A1", "Poultry purchases")</f>
        <v>Poultry purchases</v>
      </c>
      <c r="D13" s="113" t="str" cm="1">
        <f t="array" ref="D13:E15">_xlfn.CHOOSECOLS(MMS_Poultry_Soil_N2ODirect_Equations.VEERG_4_6_1_10__1_DirectNitrousOxideEmissionsFromPoultryManure_Arguments(),1,2)</f>
        <v>MN_jkm14T1</v>
      </c>
      <c r="E13" s="113" t="str">
        <v>mass of nitrogen excreted directly on pasture by poultry class and subclass</v>
      </c>
      <c r="F13" s="113"/>
      <c r="G13" s="113" t="str" cm="1">
        <f t="array" ref="G13:H15">_xlfn.CHOOSECOLS(MMS_Poultry_Soil_N2ODirect_Equations.VEERG_4_6_1_10__1_DirectNitrousOxideEmissionsFromPoultryManure_Arguments(),3,4)</f>
        <v>kg N</v>
      </c>
      <c r="H13" s="115" t="str">
        <v>Calculated from 4.6.1.3 (2)</v>
      </c>
      <c r="I13" s="116" t="str" cm="1">
        <f t="array" aca="1" ref="I13" ca="1">HYPERLINK(Common_InputFunctions.Utility_SourceHyperlink($D$17),$D$17)</f>
        <v>M1_Table_MN_j_k_m-14_T-1</v>
      </c>
    </row>
    <row r="14" spans="1:20" ht="20.100000000000001" customHeight="1" x14ac:dyDescent="0.2">
      <c r="A14" s="5" t="str">
        <f>HYPERLINK("#'Input - Fuel'!A1", "Fuel")</f>
        <v>Fuel</v>
      </c>
      <c r="D14" s="113" t="str">
        <v>EF_PRP</v>
      </c>
      <c r="E14" s="113" t="str">
        <v>nitrous oxide emission factor for manure deposited on pasture</v>
      </c>
      <c r="F14" s="113"/>
      <c r="G14" s="113" t="str">
        <v>kg N2O-N/kg N deposited</v>
      </c>
      <c r="H14" s="115" t="str">
        <v>Constant</v>
      </c>
      <c r="I14" s="113">
        <f>_xlfn.XLOOKUP(D20,Table_SourceData_Poultry_EFmT[NIR reference],Table_SourceData_Poultry_EFmT[EFmT])</f>
        <v>0.02</v>
      </c>
    </row>
    <row r="15" spans="1:20" ht="20.100000000000001" customHeight="1" x14ac:dyDescent="0.2">
      <c r="A15" s="5" t="str">
        <f>HYPERLINK("#'Input - Electricity'!A1", "Electricity")</f>
        <v>Electricity</v>
      </c>
      <c r="D15" s="113" t="str">
        <v>C_N2O</v>
      </c>
      <c r="E15" s="113" t="str">
        <v>factor to convert elemental mass of N2O to molecular mass</v>
      </c>
      <c r="F15" s="113"/>
      <c r="G15" s="113" t="str">
        <v>ratio</v>
      </c>
      <c r="H15" s="115" t="str">
        <v>Constant</v>
      </c>
      <c r="I15" s="113">
        <f>Common_InputFunctions.Utility_LookupValueInTableNumber("N2O",Table_GasToMolecularConversionFactor[Gas],Table_GasToMolecularConversionFactor[Conversion factor combined])</f>
        <v>1.5714285714285714</v>
      </c>
    </row>
    <row r="16" spans="1:20" ht="20.100000000000001" customHeight="1" x14ac:dyDescent="0.2">
      <c r="A16" s="5" t="str">
        <f>HYPERLINK("#'Input - Common farm inputs'!A1", "Common farm inputs")</f>
        <v>Common farm inputs</v>
      </c>
    </row>
    <row r="17" spans="1:19" ht="20.100000000000001" customHeight="1" x14ac:dyDescent="0.2">
      <c r="A17" s="5" t="str">
        <f>HYPERLINK("#'Input - Livestock farm Inputs'!A1", "Livestock farm Inputs")</f>
        <v>Livestock farm Inputs</v>
      </c>
      <c r="D17" s="118" t="s">
        <v>475</v>
      </c>
      <c r="N17" s="118" t="s">
        <v>476</v>
      </c>
    </row>
    <row r="18" spans="1:19" ht="20.100000000000001" customHeight="1" x14ac:dyDescent="0.2">
      <c r="A18" s="5" t="str">
        <f>HYPERLINK("#'Input - Freight'!A1", "Freight")</f>
        <v>Freight</v>
      </c>
      <c r="D18" s="119" t="s">
        <v>477</v>
      </c>
      <c r="N18" s="119" t="s">
        <v>478</v>
      </c>
    </row>
    <row r="19" spans="1:19" ht="20.100000000000001" customHeight="1" x14ac:dyDescent="0.2">
      <c r="A19" s="5" t="str">
        <f>HYPERLINK("#'Input - Solid waste'!A1", "Solid waste")</f>
        <v>Solid waste</v>
      </c>
      <c r="D19" s="120" t="s">
        <v>314</v>
      </c>
      <c r="E19" s="120" t="s">
        <v>297</v>
      </c>
      <c r="F19" s="120" t="s">
        <v>298</v>
      </c>
      <c r="G19" s="120" t="s">
        <v>299</v>
      </c>
      <c r="H19" s="120" t="s">
        <v>300</v>
      </c>
      <c r="N19" s="120" t="s">
        <v>314</v>
      </c>
      <c r="O19" s="120" t="s">
        <v>297</v>
      </c>
      <c r="P19" s="120" t="s">
        <v>298</v>
      </c>
      <c r="Q19" s="120" t="s">
        <v>299</v>
      </c>
      <c r="R19" s="120" t="s">
        <v>300</v>
      </c>
    </row>
    <row r="20" spans="1:19" ht="20.100000000000001" customHeight="1" x14ac:dyDescent="0.2">
      <c r="A20" s="5" t="str">
        <f>HYPERLINK("#'Input - Manure sent off-site'!A1", "Manure sent off-site")</f>
        <v>Manure sent off-site</v>
      </c>
      <c r="D20" s="15" t="str">
        <f>INDEX(X_Table_Poultry_Stage1MMS,5,1)</f>
        <v>Pasture range and paddock</v>
      </c>
      <c r="E20" s="15">
        <f>INDEX(M1_Table_MN_j_k_m_T1,5,2)</f>
        <v>1.6993600000000004</v>
      </c>
      <c r="F20" s="15">
        <f>INDEX(M1_Table_MN_j_k_m_T1,5,3)</f>
        <v>1.8138719999999999</v>
      </c>
      <c r="G20" s="15">
        <f>INDEX(M1_Table_MN_j_k_m_T1,5,4)</f>
        <v>2.129216</v>
      </c>
      <c r="H20" s="15">
        <f>INDEX(M1_Table_MN_j_k_m_T1,5,5)</f>
        <v>1.8138719999999999</v>
      </c>
      <c r="I20" s="16" t="str">
        <f>$G$13</f>
        <v>kg N</v>
      </c>
      <c r="J20" s="16"/>
      <c r="N20" s="15" t="str">
        <f>INDEX(X_Table_Poultry_Stage1MMS,5,1)</f>
        <v>Pasture range and paddock</v>
      </c>
      <c r="O20" s="15">
        <f>INDEX(M2_Table_MN_j_k_m_T1,5,2)</f>
        <v>1.6993600000000004</v>
      </c>
      <c r="P20" s="15">
        <f>INDEX(M2_Table_MN_j_k_m_T1,5,3)</f>
        <v>1.8138719999999999</v>
      </c>
      <c r="Q20" s="15">
        <f>INDEX(M2_Table_MN_j_k_m_T1,5,4)</f>
        <v>2.129216</v>
      </c>
      <c r="R20" s="15">
        <f>INDEX(M2_Table_MN_j_k_m_T1,5,5)</f>
        <v>1.8138719999999999</v>
      </c>
      <c r="S20" s="16" t="str">
        <f>$G$13</f>
        <v>kg N</v>
      </c>
    </row>
    <row r="21" spans="1:19" ht="20.100000000000001" customHeight="1" x14ac:dyDescent="0.2">
      <c r="A21" s="5" t="str">
        <f>HYPERLINK("#'Input - Data quality'!A1", "Data quality")</f>
        <v>Data quality</v>
      </c>
    </row>
    <row r="22" spans="1:19" ht="20.100000000000001" customHeight="1" x14ac:dyDescent="0.2">
      <c r="A22" s="5" t="str">
        <f>HYPERLINK("#'Input - Fert Prod System'!A1", "Fert Prod System")</f>
        <v>Fert Prod System</v>
      </c>
      <c r="D22" s="118" t="s">
        <v>479</v>
      </c>
      <c r="N22" s="118" t="s">
        <v>480</v>
      </c>
    </row>
    <row r="23" spans="1:19" ht="20.100000000000001" customHeight="1" x14ac:dyDescent="0.2">
      <c r="A23" s="5" t="str">
        <f>HYPERLINK("#'Input - Fertiliser'!A1", "Fertiliser")</f>
        <v>Fertiliser</v>
      </c>
      <c r="D23" s="119" t="s">
        <v>481</v>
      </c>
      <c r="N23" s="119" t="s">
        <v>482</v>
      </c>
    </row>
    <row r="24" spans="1:19" ht="20.100000000000001" customHeight="1" x14ac:dyDescent="0.2">
      <c r="D24" s="120" t="s">
        <v>314</v>
      </c>
      <c r="E24" s="120" t="s">
        <v>297</v>
      </c>
      <c r="F24" s="120" t="s">
        <v>298</v>
      </c>
      <c r="G24" s="120" t="s">
        <v>299</v>
      </c>
      <c r="H24" s="120" t="s">
        <v>300</v>
      </c>
      <c r="N24" s="120" t="s">
        <v>314</v>
      </c>
      <c r="O24" s="120" t="s">
        <v>297</v>
      </c>
      <c r="P24" s="120" t="s">
        <v>298</v>
      </c>
      <c r="Q24" s="120" t="s">
        <v>299</v>
      </c>
      <c r="R24" s="120" t="s">
        <v>300</v>
      </c>
    </row>
    <row r="25" spans="1:19" ht="20.100000000000001" customHeight="1" x14ac:dyDescent="0.2">
      <c r="D25" s="15" t="str">
        <f>INDEX(X_Table_Poultry_Stage1MMS,5,1)</f>
        <v>Pasture range and paddock</v>
      </c>
      <c r="E25" s="15" cm="1">
        <f t="array" ref="E25">MMS_Poultry_Soil_N2ODirect_Equations.VEERG_4_6_1_10__1_DirectNitrousOxideEmissionsFromPoultryManure(E20,$I$14,$I$15)</f>
        <v>5.3408457142857159E-5</v>
      </c>
      <c r="F25" s="15" cm="1">
        <f t="array" ref="F25">MMS_Poultry_Soil_N2ODirect_Equations.VEERG_4_6_1_10__1_DirectNitrousOxideEmissionsFromPoultryManure(F20,$I$14,$I$15)</f>
        <v>5.700740571428572E-5</v>
      </c>
      <c r="G25" s="15" cm="1">
        <f t="array" ref="G25">MMS_Poultry_Soil_N2ODirect_Equations.VEERG_4_6_1_10__1_DirectNitrousOxideEmissionsFromPoultryManure(G20,$I$14,$I$15)</f>
        <v>6.6918217142857147E-5</v>
      </c>
      <c r="H25" s="15" cm="1">
        <f t="array" ref="H25">MMS_Poultry_Soil_N2ODirect_Equations.VEERG_4_6_1_10__1_DirectNitrousOxideEmissionsFromPoultryManure(H20,$I$14,$I$15)</f>
        <v>5.700740571428572E-5</v>
      </c>
      <c r="I25" s="16" t="str">
        <f>$E$11</f>
        <v>t N2O</v>
      </c>
      <c r="J25" s="16"/>
      <c r="N25" s="15" t="str">
        <f>INDEX(X_Table_Poultry_Stage1MMS,5,1)</f>
        <v>Pasture range and paddock</v>
      </c>
      <c r="O25" s="15" cm="1">
        <f t="array" ref="O25">MMS_Poultry_Soil_N2ODirect_Equations.VEERG_4_6_1_10__1_DirectNitrousOxideEmissionsFromPoultryManure(O20,$I$14,$I$15)</f>
        <v>5.3408457142857159E-5</v>
      </c>
      <c r="P25" s="15" cm="1">
        <f t="array" ref="P25">MMS_Poultry_Soil_N2ODirect_Equations.VEERG_4_6_1_10__1_DirectNitrousOxideEmissionsFromPoultryManure(P20,$I$14,$I$15)</f>
        <v>5.700740571428572E-5</v>
      </c>
      <c r="Q25" s="15" cm="1">
        <f t="array" ref="Q25">MMS_Poultry_Soil_N2ODirect_Equations.VEERG_4_6_1_10__1_DirectNitrousOxideEmissionsFromPoultryManure(Q20,$I$14,$I$15)</f>
        <v>6.6918217142857147E-5</v>
      </c>
      <c r="R25" s="15" cm="1">
        <f t="array" ref="R25">MMS_Poultry_Soil_N2ODirect_Equations.VEERG_4_6_1_10__1_DirectNitrousOxideEmissionsFromPoultryManure(R20,$I$14,$I$15)</f>
        <v>5.700740571428572E-5</v>
      </c>
      <c r="S25" s="16" t="s">
        <v>483</v>
      </c>
    </row>
    <row r="26" spans="1:19" ht="20.100000000000001" customHeight="1" x14ac:dyDescent="0.2">
      <c r="A26" s="6" t="s">
        <v>2</v>
      </c>
    </row>
    <row r="27" spans="1:19" ht="20.100000000000001" customHeight="1" x14ac:dyDescent="0.2">
      <c r="A27" s="5" t="str">
        <f>HYPERLINK("#'4.6.1.1-2 Methane'!A1", "4.6.1.1-2 Manure Methane")</f>
        <v>4.6.1.1-2 Manure Methane</v>
      </c>
      <c r="D27" s="85" t="s">
        <v>484</v>
      </c>
      <c r="E27" s="86">
        <f>SUM(E25:H25)</f>
        <v>2.3434148571428574E-4</v>
      </c>
      <c r="F27" s="95" t="str">
        <f>$E$11</f>
        <v>t N2O</v>
      </c>
      <c r="N27" s="85" t="s">
        <v>484</v>
      </c>
      <c r="O27" s="86">
        <f>SUM(O25:R25)</f>
        <v>2.3434148571428574E-4</v>
      </c>
      <c r="P27" s="95" t="str">
        <f>$E$11</f>
        <v>t N2O</v>
      </c>
    </row>
    <row r="28" spans="1:19" ht="20.100000000000001" customHeight="1" x14ac:dyDescent="0.2">
      <c r="A28" s="5" t="str">
        <f>HYPERLINK("#'4.6.1.3-4 Direct N20'!A1", "4.6.1.3-4 Manure Direct N2O")</f>
        <v>4.6.1.3-4 Manure Direct N2O</v>
      </c>
    </row>
    <row r="29" spans="1:19" ht="20.100000000000001" customHeight="1" x14ac:dyDescent="0.2">
      <c r="A29" s="5" t="str">
        <f>HYPERLINK("#'4.6.1.5-6 Atmos Dep'!A1", "4.6.1.5-6 Manure Atmos Dep")</f>
        <v>4.6.1.5-6 Manure Atmos Dep</v>
      </c>
      <c r="D29" s="126" t="str" cm="1">
        <f t="array" ref="D29:E30">Common_Equations.Common_ConvertN2OToCO2e_Arguments()</f>
        <v>EN2O</v>
      </c>
      <c r="E29" s="129" t="str">
        <v>Nitrous oxide emissions (t N2O)</v>
      </c>
      <c r="F29" s="130"/>
      <c r="G29" s="15">
        <f>VEERG_4_6_1_10__1_DirectNitrousOxideEmissionsFromPoultryManure_Result_Method1</f>
        <v>2.3434148571428574E-4</v>
      </c>
      <c r="N29" s="126" t="str" cm="1">
        <f t="array" ref="N29:O30">Common_Equations.Common_ConvertN2OToCO2e_Arguments()</f>
        <v>EN2O</v>
      </c>
      <c r="O29" s="129" t="str">
        <v>Nitrous oxide emissions (t N2O)</v>
      </c>
      <c r="P29" s="130"/>
      <c r="Q29" s="15">
        <f>VEERG_4_6_1_10__1_DirectNitrousOxideEmissionsFromPoultryManure_Result_Method2</f>
        <v>2.3434148571428574E-4</v>
      </c>
    </row>
    <row r="30" spans="1:19" ht="20.100000000000001" customHeight="1" x14ac:dyDescent="0.2">
      <c r="A30" s="5" t="str">
        <f>HYPERLINK("#'4.6.1.7-8 Leaching and runoff'!A1", "4.6.1.7-8 Manure Leaching and runoff")</f>
        <v>4.6.1.7-8 Manure Leaching and runoff</v>
      </c>
      <c r="D30" s="126" t="str">
        <v>GWPN2O</v>
      </c>
      <c r="E30" s="129" t="str">
        <v>Global warming potential for nitrous oxide (t CO2-e / t N2O)</v>
      </c>
      <c r="F30" s="130"/>
      <c r="G30" s="15">
        <f>Common_InputFunctions.Utility_LookupValueInTableNumber("N2O", Table_GWPData[Gas],Table_GWPData[CO2-e factor])</f>
        <v>265</v>
      </c>
      <c r="N30" s="126" t="str">
        <v>GWPN2O</v>
      </c>
      <c r="O30" s="129" t="str">
        <v>Global warming potential for nitrous oxide (t CO2-e / t N2O)</v>
      </c>
      <c r="P30" s="130"/>
      <c r="Q30" s="15">
        <f>Common_InputFunctions.Utility_LookupValueInTableNumber("N2O", Table_GWPData[Gas],Table_GWPData[CO2-e factor])</f>
        <v>265</v>
      </c>
    </row>
    <row r="31" spans="1:19" ht="20.100000000000001" customHeight="1" x14ac:dyDescent="0.2">
      <c r="A31" s="5" t="str">
        <f>HYPERLINK("#'4.6.1.9 Manure applied to soils'!A1", "4.6.1.9 Manure applied to soils")</f>
        <v>4.6.1.9 Manure applied to soils</v>
      </c>
    </row>
    <row r="32" spans="1:19" ht="20.100000000000001" customHeight="1" x14ac:dyDescent="0.2">
      <c r="A32" s="117" t="str">
        <f>HYPERLINK("#'4.6.1.10-11 Soil direct N2O'!A1", "4.6.1.10-11 Soil direct N2O")</f>
        <v>4.6.1.10-11 Soil direct N2O</v>
      </c>
      <c r="D32" s="83" t="s">
        <v>377</v>
      </c>
      <c r="E32" s="83" cm="1">
        <f t="array" ref="E32">Common_Equations.Common_ConvertN2OToCO2e(G29,G30)</f>
        <v>6.2100493714285721E-2</v>
      </c>
      <c r="F32" s="89" t="str" cm="1">
        <f t="array" ref="F32">Common_Equations.Common_ConvertN2OToCO2e_Unit()</f>
        <v>t CO2e</v>
      </c>
      <c r="N32" s="83" t="s">
        <v>377</v>
      </c>
      <c r="O32" s="83" cm="1">
        <f t="array" ref="O32">Common_Equations.Common_ConvertN2OToCO2e(Q29,Q30)</f>
        <v>6.2100493714285721E-2</v>
      </c>
      <c r="P32" s="89" t="str" cm="1">
        <f t="array" ref="P32">Common_Equations.Common_ConvertN2OToCO2e_Unit()</f>
        <v>t CO2e</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42BD-36A0-47B5-A21F-E30A9FE72A24}">
  <sheetPr>
    <tabColor rgb="FF008000"/>
  </sheetPr>
  <dimension ref="A1:S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485</v>
      </c>
    </row>
    <row r="2" spans="1:19" s="3" customFormat="1" ht="20.100000000000001" customHeight="1" x14ac:dyDescent="0.2">
      <c r="A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
      <c r="D6" s="17" t="str" cm="1">
        <f t="array" ref="D6">MMS_Poultry_Soil_AtmosphericDeposition_Equations.VEERG_4_6_1_12__2_MassOfNitrogenVolatilisedFromPoultryManureOnPasture_Source()</f>
        <v>VEERG 2026: 4.6.1.12, Equation (2)</v>
      </c>
    </row>
    <row r="7" spans="1:19" ht="20.100000000000001" customHeight="1" x14ac:dyDescent="0.2">
      <c r="D7" s="112" t="s">
        <v>328</v>
      </c>
      <c r="E7" s="112" t="str" cm="1">
        <f t="array" aca="1" ref="E7" ca="1">Common_InputFunctions.Utility_DisplayFunctionName(E24)</f>
        <v>=MMS_Poultry_Soil_AtmosphericDeposition_Equations.VEERG_4_6_1_12__2_MassOfNitrogenVolatilisedFromPoultryManureOnPasture</v>
      </c>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5" t="s">
        <v>329</v>
      </c>
      <c r="E10" s="1" t="str" cm="1">
        <f t="array" ref="E10">MMS_Poultry_Soil_AtmosphericDeposition_Equations.VEERG_4_6_1_12__2_MassOfNitrogenVolatilisedFromPoultryManureOnPasture_Variable()</f>
        <v>M_vol_m14</v>
      </c>
    </row>
    <row r="11" spans="1:19" ht="20.100000000000001" customHeight="1" x14ac:dyDescent="0.2">
      <c r="A11" s="5" t="str">
        <f>HYPERLINK("#'Input - Poultry'!A1", "Poultry")</f>
        <v>Poultry</v>
      </c>
      <c r="D11" s="75" t="s">
        <v>118</v>
      </c>
      <c r="E11" s="9" t="str" cm="1">
        <f t="array" ref="E11">MMS_Poultry_Soil_AtmosphericDeposition_Equations.VEERG_4_6_1_12__2_MassOfNitrogenVolatilisedFromPoultryManureOnPasture_Unit()</f>
        <v>kg N</v>
      </c>
    </row>
    <row r="12" spans="1:19" ht="20.100000000000001" customHeight="1" x14ac:dyDescent="0.2">
      <c r="A12" s="5" t="str">
        <f>HYPERLINK("#'Input - Livestock sales'!A1", "Livestock sales")</f>
        <v>Livestock sales</v>
      </c>
    </row>
    <row r="13" spans="1:19" ht="20.100000000000001" customHeight="1" x14ac:dyDescent="0.2">
      <c r="A13" s="5" t="str">
        <f>HYPERLINK("#'Input - Poultry purchases'!A1", "Poultry purchases")</f>
        <v>Poultry purchases</v>
      </c>
      <c r="D13" s="113" t="str" cm="1">
        <f t="array" ref="D13:E14">_xlfn.CHOOSECOLS(MMS_Poultry_Soil_AtmosphericDeposition_Equations.VEERG_4_6_1_12__2_MassOfNitrogenVolatilisedFromPoultryManureOnPasture_Arguments(),1,2)</f>
        <v>MN_jkm14T1</v>
      </c>
      <c r="E13" s="113" t="str">
        <v>mass of nitrogen excreted directly on pasture by poultry class and subclass</v>
      </c>
      <c r="F13" s="113"/>
      <c r="G13" s="113" t="str" cm="1">
        <f t="array" ref="G13:H14">_xlfn.CHOOSECOLS(MMS_Poultry_Soil_AtmosphericDeposition_Equations.VEERG_4_6_1_12__2_MassOfNitrogenVolatilisedFromPoultryManureOnPasture_Arguments(),3,4)</f>
        <v>kg N</v>
      </c>
      <c r="H13" s="115" t="str">
        <v>Calculated from 4.6.1.3 (2)</v>
      </c>
      <c r="I13" s="116" t="str" cm="1">
        <f t="array" aca="1" ref="I13" ca="1">HYPERLINK(Common_InputFunctions.Utility_SourceHyperlink($D$16),$D$16)</f>
        <v>M1_Table_MN_j_k_m-14_T-1</v>
      </c>
    </row>
    <row r="14" spans="1:19" ht="20.100000000000001" customHeight="1" x14ac:dyDescent="0.2">
      <c r="A14" s="5" t="str">
        <f>HYPERLINK("#'Input - Fuel'!A1", "Fuel")</f>
        <v>Fuel</v>
      </c>
      <c r="D14" s="113" t="str">
        <v>FracGASMsoil</v>
      </c>
      <c r="E14" s="113" t="str">
        <v>fraction of nitrogen volatilised from manure deposited on pasture</v>
      </c>
      <c r="F14" s="113"/>
      <c r="G14" s="113" t="str">
        <v>(kg NH3-N + NOx-N)/kg N</v>
      </c>
      <c r="H14" s="115" t="str">
        <v>Constant</v>
      </c>
      <c r="I14" s="113">
        <f>SourceData_Poultry_FracGAMSSoil_Data</f>
        <v>0.21</v>
      </c>
    </row>
    <row r="15" spans="1:19" ht="20.100000000000001" customHeight="1" x14ac:dyDescent="0.2">
      <c r="A15" s="5" t="str">
        <f>HYPERLINK("#'Input - Electricity'!A1", "Electricity")</f>
        <v>Electricity</v>
      </c>
    </row>
    <row r="16" spans="1:19" ht="20.100000000000001" customHeight="1" x14ac:dyDescent="0.2">
      <c r="A16" s="5" t="str">
        <f>HYPERLINK("#'Input - Common farm inputs'!A1", "Common farm inputs")</f>
        <v>Common farm inputs</v>
      </c>
      <c r="D16" s="118" t="s">
        <v>475</v>
      </c>
      <c r="M16" s="118" t="s">
        <v>476</v>
      </c>
    </row>
    <row r="17" spans="1:19" ht="20.100000000000001" customHeight="1" x14ac:dyDescent="0.2">
      <c r="A17" s="5" t="str">
        <f>HYPERLINK("#'Input - Livestock farm Inputs'!A1", "Livestock farm Inputs")</f>
        <v>Livestock farm Inputs</v>
      </c>
      <c r="D17" s="119" t="s">
        <v>477</v>
      </c>
      <c r="M17" s="119" t="s">
        <v>478</v>
      </c>
    </row>
    <row r="18" spans="1:19" ht="20.100000000000001" customHeight="1" x14ac:dyDescent="0.2">
      <c r="A18" s="5" t="str">
        <f>HYPERLINK("#'Input - Freight'!A1", "Freight")</f>
        <v>Freight</v>
      </c>
      <c r="D18" s="120" t="s">
        <v>314</v>
      </c>
      <c r="E18" s="120" t="s">
        <v>297</v>
      </c>
      <c r="F18" s="120" t="s">
        <v>298</v>
      </c>
      <c r="G18" s="120" t="s">
        <v>299</v>
      </c>
      <c r="H18" s="120" t="s">
        <v>300</v>
      </c>
      <c r="M18" s="120" t="s">
        <v>314</v>
      </c>
      <c r="N18" s="120" t="s">
        <v>297</v>
      </c>
      <c r="O18" s="120" t="s">
        <v>298</v>
      </c>
      <c r="P18" s="120" t="s">
        <v>299</v>
      </c>
      <c r="Q18" s="120" t="s">
        <v>300</v>
      </c>
    </row>
    <row r="19" spans="1:19" ht="20.100000000000001" customHeight="1" x14ac:dyDescent="0.2">
      <c r="A19" s="5" t="str">
        <f>HYPERLINK("#'Input - Solid waste'!A1", "Solid waste")</f>
        <v>Solid waste</v>
      </c>
      <c r="D19" s="15" t="str">
        <f>INDEX(X_Table_Poultry_Stage1MMS,5,1)</f>
        <v>Pasture range and paddock</v>
      </c>
      <c r="E19" s="15">
        <f>INDEX(M1_Table_MN_j_k_m_T1,5,2)</f>
        <v>1.6993600000000004</v>
      </c>
      <c r="F19" s="15">
        <f>INDEX(M1_Table_MN_j_k_m_T1,5,3)</f>
        <v>1.8138719999999999</v>
      </c>
      <c r="G19" s="15">
        <f>INDEX(M1_Table_MN_j_k_m_T1,5,4)</f>
        <v>2.129216</v>
      </c>
      <c r="H19" s="15">
        <f>INDEX(M1_Table_MN_j_k_m_T1,5,5)</f>
        <v>1.8138719999999999</v>
      </c>
      <c r="I19" s="16" t="str">
        <f>$G$13</f>
        <v>kg N</v>
      </c>
      <c r="M19" s="15" t="str">
        <f>INDEX(X_Table_Poultry_Stage1MMS,5,1)</f>
        <v>Pasture range and paddock</v>
      </c>
      <c r="N19" s="15">
        <f>INDEX(M2_Table_MN_j_k_m_T1,5,2)</f>
        <v>1.6993600000000004</v>
      </c>
      <c r="O19" s="15">
        <f>INDEX(M2_Table_MN_j_k_m_T1,5,3)</f>
        <v>1.8138719999999999</v>
      </c>
      <c r="P19" s="15">
        <f>INDEX(M2_Table_MN_j_k_m_T1,5,4)</f>
        <v>2.129216</v>
      </c>
      <c r="Q19" s="15">
        <f>INDEX(M2_Table_MN_j_k_m_T1,5,5)</f>
        <v>1.8138719999999999</v>
      </c>
      <c r="R19" s="16" t="str">
        <f>$G$13</f>
        <v>kg N</v>
      </c>
    </row>
    <row r="20" spans="1:19" ht="20.100000000000001" customHeight="1" x14ac:dyDescent="0.2">
      <c r="A20" s="5" t="str">
        <f>HYPERLINK("#'Input - Manure sent off-site'!A1", "Manure sent off-site")</f>
        <v>Manure sent off-site</v>
      </c>
    </row>
    <row r="21" spans="1:19" ht="20.100000000000001" customHeight="1" x14ac:dyDescent="0.2">
      <c r="A21" s="5" t="str">
        <f>HYPERLINK("#'Input - Data quality'!A1", "Data quality")</f>
        <v>Data quality</v>
      </c>
      <c r="D21" s="118" t="s">
        <v>486</v>
      </c>
      <c r="M21" s="118" t="s">
        <v>487</v>
      </c>
    </row>
    <row r="22" spans="1:19" ht="20.100000000000001" customHeight="1" x14ac:dyDescent="0.2">
      <c r="A22" s="5" t="str">
        <f>HYPERLINK("#'Input - Fert Prod System'!A1", "Fert Prod System")</f>
        <v>Fert Prod System</v>
      </c>
      <c r="D22" s="119" t="s">
        <v>477</v>
      </c>
      <c r="M22" s="119" t="s">
        <v>478</v>
      </c>
    </row>
    <row r="23" spans="1:19" ht="20.100000000000001" customHeight="1" x14ac:dyDescent="0.2">
      <c r="A23" s="5" t="str">
        <f>HYPERLINK("#'Input - Fertiliser'!A1", "Fertiliser")</f>
        <v>Fertiliser</v>
      </c>
      <c r="D23" s="120" t="s">
        <v>314</v>
      </c>
      <c r="E23" s="120" t="s">
        <v>297</v>
      </c>
      <c r="F23" s="120" t="s">
        <v>298</v>
      </c>
      <c r="G23" s="120" t="s">
        <v>299</v>
      </c>
      <c r="H23" s="120" t="s">
        <v>300</v>
      </c>
      <c r="M23" s="120" t="s">
        <v>314</v>
      </c>
      <c r="N23" s="120" t="s">
        <v>297</v>
      </c>
      <c r="O23" s="120" t="s">
        <v>298</v>
      </c>
      <c r="P23" s="120" t="s">
        <v>299</v>
      </c>
      <c r="Q23" s="120" t="s">
        <v>300</v>
      </c>
    </row>
    <row r="24" spans="1:19" ht="20.100000000000001" customHeight="1" x14ac:dyDescent="0.2">
      <c r="D24" s="15" t="str">
        <f>INDEX(X_Table_Poultry_Stage1MMS,5,1)</f>
        <v>Pasture range and paddock</v>
      </c>
      <c r="E24" s="15" cm="1">
        <f t="array" ref="E24">MMS_Poultry_Soil_AtmosphericDeposition_Equations.VEERG_4_6_1_12__2_MassOfNitrogenVolatilisedFromPoultryManureOnPasture(E19,$I$14)</f>
        <v>0.35686560000000006</v>
      </c>
      <c r="F24" s="15" cm="1">
        <f t="array" ref="F24">MMS_Poultry_Soil_AtmosphericDeposition_Equations.VEERG_4_6_1_12__2_MassOfNitrogenVolatilisedFromPoultryManureOnPasture(F19,$I$14)</f>
        <v>0.38091311999999999</v>
      </c>
      <c r="G24" s="15" cm="1">
        <f t="array" ref="G24">MMS_Poultry_Soil_AtmosphericDeposition_Equations.VEERG_4_6_1_12__2_MassOfNitrogenVolatilisedFromPoultryManureOnPasture(G19,$I$14)</f>
        <v>0.44713535999999998</v>
      </c>
      <c r="H24" s="15" cm="1">
        <f t="array" ref="H24">MMS_Poultry_Soil_AtmosphericDeposition_Equations.VEERG_4_6_1_12__2_MassOfNitrogenVolatilisedFromPoultryManureOnPasture(H19,$I$14)</f>
        <v>0.38091311999999999</v>
      </c>
      <c r="I24" s="16" t="str">
        <f>$E$11</f>
        <v>kg N</v>
      </c>
      <c r="M24" s="15" t="str">
        <f>INDEX(X_Table_Poultry_Stage1MMS,5,1)</f>
        <v>Pasture range and paddock</v>
      </c>
      <c r="N24" s="15" cm="1">
        <f t="array" ref="N24">MMS_Poultry_Soil_AtmosphericDeposition_Equations.VEERG_4_6_1_12__2_MassOfNitrogenVolatilisedFromPoultryManureOnPasture(N19,$I$14)</f>
        <v>0.35686560000000006</v>
      </c>
      <c r="O24" s="15" cm="1">
        <f t="array" ref="O24">MMS_Poultry_Soil_AtmosphericDeposition_Equations.VEERG_4_6_1_12__2_MassOfNitrogenVolatilisedFromPoultryManureOnPasture(O19,$I$14)</f>
        <v>0.38091311999999999</v>
      </c>
      <c r="P24" s="15" cm="1">
        <f t="array" ref="P24">MMS_Poultry_Soil_AtmosphericDeposition_Equations.VEERG_4_6_1_12__2_MassOfNitrogenVolatilisedFromPoultryManureOnPasture(P19,$I$14)</f>
        <v>0.44713535999999998</v>
      </c>
      <c r="Q24" s="15" cm="1">
        <f t="array" ref="Q24">MMS_Poultry_Soil_AtmosphericDeposition_Equations.VEERG_4_6_1_12__2_MassOfNitrogenVolatilisedFromPoultryManureOnPasture(Q19,$I$14)</f>
        <v>0.38091311999999999</v>
      </c>
      <c r="R24" s="16" t="str">
        <f>$E$11</f>
        <v>kg N</v>
      </c>
    </row>
    <row r="26" spans="1:19" ht="20.100000000000001" customHeight="1" x14ac:dyDescent="0.2">
      <c r="A26" s="6" t="s">
        <v>2</v>
      </c>
      <c r="D26" s="88" t="s">
        <v>488</v>
      </c>
      <c r="E26" s="83">
        <f>SUM(E24:H24)</f>
        <v>1.5658272</v>
      </c>
      <c r="F26" s="89" t="str">
        <f>$E$11</f>
        <v>kg N</v>
      </c>
      <c r="M26" s="88" t="s">
        <v>488</v>
      </c>
      <c r="N26" s="83">
        <f>SUM(N24:Q24)</f>
        <v>1.5658272</v>
      </c>
      <c r="O26" s="89" t="str">
        <f>$E$11</f>
        <v>kg N</v>
      </c>
    </row>
    <row r="27" spans="1:19" ht="20.100000000000001" customHeight="1" x14ac:dyDescent="0.2">
      <c r="A27" s="5" t="str">
        <f>HYPERLINK("#'4.6.1.1-2 Methane'!A1", "4.6.1.1-2 Manure Methane")</f>
        <v>4.6.1.1-2 Manure Methane</v>
      </c>
    </row>
    <row r="28" spans="1:19" ht="20.100000000000001" customHeight="1" x14ac:dyDescent="0.2">
      <c r="A28" s="5" t="str">
        <f>HYPERLINK("#'4.6.1.3-4 Direct N20'!A1", "4.6.1.3-4 Manure Direct N2O")</f>
        <v>4.6.1.3-4 Manure Direct N2O</v>
      </c>
    </row>
    <row r="29" spans="1:19" ht="20.100000000000001" customHeight="1" x14ac:dyDescent="0.2">
      <c r="A29" s="5" t="str">
        <f>HYPERLINK("#'4.6.1.5-6 Atmos Dep'!A1", "4.6.1.5-6 Manure Atmos Dep")</f>
        <v>4.6.1.5-6 Manure Atmos Dep</v>
      </c>
      <c r="C29" s="83"/>
      <c r="D29" s="83"/>
      <c r="E29" s="83"/>
      <c r="F29" s="83"/>
      <c r="G29" s="83"/>
      <c r="H29" s="83"/>
      <c r="I29" s="83"/>
      <c r="J29" s="83"/>
      <c r="L29" s="83"/>
      <c r="M29" s="83"/>
      <c r="N29" s="83"/>
      <c r="O29" s="83"/>
      <c r="P29" s="83"/>
      <c r="Q29" s="83"/>
      <c r="R29" s="83"/>
      <c r="S29" s="83"/>
    </row>
    <row r="30" spans="1:19" ht="20.100000000000001" customHeight="1" x14ac:dyDescent="0.2">
      <c r="A30" s="5" t="str">
        <f>HYPERLINK("#'4.6.1.7-8 Leaching and runoff'!A1", "4.6.1.7-8 Manure Leaching and runoff")</f>
        <v>4.6.1.7-8 Manure Leaching and runoff</v>
      </c>
      <c r="D30" s="2"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
      <c r="A31" s="5" t="str">
        <f>HYPERLINK("#'4.6.1.9 Manure applied to soils'!A1", "4.6.1.9 Manure applied to soils")</f>
        <v>4.6.1.9 Manure applied to soils</v>
      </c>
      <c r="D31" s="17" t="str" cm="1">
        <f t="array" ref="D31">MMS_Poultry_Soil_AtmosphericDeposition_Equations.VEERG_4_6_1_12__1_AtmosphericDepositionEmissionsFromPoultryManureOnPasture_Source()</f>
        <v>VEERG 2026: 4.6.1.12, Equation (1)</v>
      </c>
    </row>
    <row r="32" spans="1:19" ht="20.100000000000001" customHeight="1" x14ac:dyDescent="0.2">
      <c r="A32" s="5" t="str">
        <f>HYPERLINK("#'4.6.1.10-11 Soil direct N2O'!A1", "4.6.1.10-11 Soil direct N2O")</f>
        <v>4.6.1.10-11 Soil direct N2O</v>
      </c>
      <c r="D32" s="112" t="s">
        <v>328</v>
      </c>
      <c r="E32" s="112" t="str">
        <f ca="1">Common_InputFunctions.Utility_DisplayFunctionName(VEERG_4_6_1_12__1_AtmosphericDepositionEmissionsFromPoultryManureOnPasture_Result_Method1)</f>
        <v>=MMS_Poultry_Soil_AtmosphericDeposition_Equations.VEERG_4_6_1_12__1_AtmosphericDepositionEmissionsFromPoultryManureOnPasture</v>
      </c>
    </row>
    <row r="33" spans="1:18" ht="20.100000000000001" customHeight="1" x14ac:dyDescent="0.2">
      <c r="A33" s="117" t="str">
        <f>HYPERLINK("#'4.6.1.12-13 Soil atmos dep'!A1", "4.6.1.12-13 Soil atmos dep")</f>
        <v>4.6.1.12-13 Soil atmos dep</v>
      </c>
    </row>
    <row r="34" spans="1:18" ht="20.100000000000001" customHeight="1" x14ac:dyDescent="0.2">
      <c r="A34" s="5" t="str">
        <f>HYPERLINK("#'4.6.1.14-15 Soil leach runoff'!A1", "4.6.1.14-15 Soil leach runoff")</f>
        <v>4.6.1.14-15 Soil leach runoff</v>
      </c>
    </row>
    <row r="35" spans="1:18" ht="20.100000000000001" customHeight="1" x14ac:dyDescent="0.2">
      <c r="A35" s="5" t="str">
        <f>HYPERLINK("#'8.1.1.1-2 Transport fuel'!A1", "8.1.1.1-2 Transport fuel")</f>
        <v>8.1.1.1-2 Transport fuel</v>
      </c>
      <c r="D35" s="75" t="s">
        <v>329</v>
      </c>
      <c r="E35" s="1" t="str" cm="1">
        <f t="array" ref="E35">MMS_Poultry_Soil_AtmosphericDeposition_Equations.VEERG_4_6_1_12__1_AtmosphericDepositionEmissionsFromPoultryManureOnPasture_Variable()</f>
        <v>E_N2Oad</v>
      </c>
    </row>
    <row r="36" spans="1:18" ht="20.100000000000001" customHeight="1" x14ac:dyDescent="0.2">
      <c r="A36" s="5" t="str">
        <f>HYPERLINK("#'8.2.1.1-2 Stationary fuel'!A1", "8.2.1.1-2 Stationary fuel")</f>
        <v>8.2.1.1-2 Stationary fuel</v>
      </c>
      <c r="D36" s="75" t="s">
        <v>118</v>
      </c>
      <c r="E36" s="9" t="str" cm="1">
        <f t="array" ref="E36">MMS_Poultry_Soil_AtmosphericDeposition_Equations.VEERG_4_6_1_12__1_AtmosphericDepositionEmissionsFromPoultryManureOnPasture_Unit()</f>
        <v>t N2O</v>
      </c>
    </row>
    <row r="37" spans="1:18" ht="20.100000000000001" customHeight="1" x14ac:dyDescent="0.2">
      <c r="A37" s="5" t="str">
        <f>HYPERLINK("#'10.1.1-2 Solid waste treatment'!A1", "10.1.1.1-2 Solid waste")</f>
        <v>10.1.1.1-2 Solid waste</v>
      </c>
    </row>
    <row r="38" spans="1:18" ht="20.100000000000001" customHeight="1" x14ac:dyDescent="0.2">
      <c r="A38" s="5" t="str">
        <f>HYPERLINK("#'14.1.1-2 Purchased electricity'!A1", "14.1.1-2 Purchased electricity")</f>
        <v>14.1.1-2 Purchased electricity</v>
      </c>
      <c r="D38" s="113" t="str" cm="1">
        <f t="array" ref="D38:E43">_xlfn.CHOOSECOLS(MMS_Poultry_Soil_AtmosphericDeposition_Equations.VEERG_4_6_1_12__1_AtmosphericDepositionEmissionsFromPoultryManureOnPasture_Arguments(),1,2)</f>
        <v>M_vol_m14</v>
      </c>
      <c r="E38" s="122" t="str">
        <v>mass of nitrogen volatilised from manure deposited on pasture</v>
      </c>
      <c r="F38" s="123"/>
      <c r="G38" s="113" t="str" cm="1">
        <f t="array" ref="G38:H43">_xlfn.CHOOSECOLS(MMS_Poultry_Soil_AtmosphericDeposition_Equations.VEERG_4_6_1_12__1_AtmosphericDepositionEmissionsFromPoultryManureOnPasture_Arguments(),3,4)</f>
        <v>kg N</v>
      </c>
      <c r="H38" s="115" t="str">
        <v>Calculated from 4.6.1.12 (2)</v>
      </c>
      <c r="I38" s="113">
        <f>E26</f>
        <v>1.5658272</v>
      </c>
      <c r="M38" s="113" t="str" cm="1">
        <f t="array" ref="M38:N43">_xlfn.CHOOSECOLS(MMS_Poultry_Soil_AtmosphericDeposition_Equations.VEERG_4_6_1_12__1_AtmosphericDepositionEmissionsFromPoultryManureOnPasture_Arguments(),1,2)</f>
        <v>M_vol_m14</v>
      </c>
      <c r="N38" s="122" t="str">
        <v>mass of nitrogen volatilised from manure deposited on pasture</v>
      </c>
      <c r="O38" s="123"/>
      <c r="P38" s="113" t="str" cm="1">
        <f t="array" ref="P38:Q43">_xlfn.CHOOSECOLS(MMS_Poultry_Soil_AtmosphericDeposition_Equations.VEERG_4_6_1_12__1_AtmosphericDepositionEmissionsFromPoultryManureOnPasture_Arguments(),3,4)</f>
        <v>kg N</v>
      </c>
      <c r="Q38" s="115" t="str">
        <v>Calculated from 4.6.1.12 (2)</v>
      </c>
      <c r="R38" s="126">
        <f>N26</f>
        <v>1.5658272</v>
      </c>
    </row>
    <row r="39" spans="1:18" ht="20.100000000000001" customHeight="1" x14ac:dyDescent="0.2">
      <c r="A39" s="5" t="str">
        <f>HYPERLINK("#'15 Scope 3'!A1", "15 Scope 3")</f>
        <v>15 Scope 3</v>
      </c>
      <c r="D39" s="113" t="str">
        <v>EF_N2O</v>
      </c>
      <c r="E39" s="122" t="str">
        <v>emission factor for atmospheric deposition (kg N2O-N/kg N)</v>
      </c>
      <c r="F39" s="123"/>
      <c r="G39" s="113" t="str">
        <v>kg N2O-N/kg N</v>
      </c>
      <c r="H39" s="115" t="str">
        <v>Constant</v>
      </c>
      <c r="I39" s="113">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13" t="str">
        <v>EF_N2O</v>
      </c>
      <c r="N39" s="122" t="str">
        <v>emission factor for atmospheric deposition (kg N2O-N/kg N)</v>
      </c>
      <c r="O39" s="123"/>
      <c r="P39" s="113" t="str">
        <v>kg N2O-N/kg N</v>
      </c>
      <c r="Q39" s="115" t="str">
        <v>Constant</v>
      </c>
      <c r="R39" s="126"/>
    </row>
    <row r="40" spans="1:18" ht="20.100000000000001" customHeight="1" x14ac:dyDescent="0.2">
      <c r="A40" s="5" t="str">
        <f>HYPERLINK("#'Calcs - Manure sent off-site'!A1", "Calcs - Manure sent off-site")</f>
        <v>Calcs - Manure sent off-site</v>
      </c>
      <c r="D40" s="113" t="str">
        <v>C_N2O</v>
      </c>
      <c r="E40" s="122" t="str">
        <v>factor to convert elemental mass of N2O to molecular mass</v>
      </c>
      <c r="F40" s="123"/>
      <c r="G40" s="113" t="str">
        <v>ratio</v>
      </c>
      <c r="H40" s="115" t="str">
        <v>Constant</v>
      </c>
      <c r="I40" s="113">
        <f>Common_InputFunctions.Utility_LookupValueInTableNumber("N2O",Table_GasToMolecularConversionFactor[Gas],Table_GasToMolecularConversionFactor[Conversion factor combined])</f>
        <v>1.5714285714285714</v>
      </c>
      <c r="M40" s="113" t="str">
        <v>C_N2O</v>
      </c>
      <c r="N40" s="122" t="str">
        <v>factor to convert elemental mass of N2O to molecular mass</v>
      </c>
      <c r="O40" s="123"/>
      <c r="P40" s="113" t="str">
        <v>ratio</v>
      </c>
      <c r="Q40" s="115" t="str">
        <v>Constant</v>
      </c>
      <c r="R40" s="126"/>
    </row>
    <row r="41" spans="1:18" ht="20.100000000000001" customHeight="1" x14ac:dyDescent="0.2">
      <c r="A41" s="5" t="str">
        <f>HYPERLINK("#'5.1.1.1-2 Inorganic fert N2O'!A1", "5.1.1.1-2 Inorganic fert N2O")</f>
        <v>5.1.1.1-2 Inorganic fert N2O</v>
      </c>
      <c r="D41" s="113" t="str">
        <v>j</v>
      </c>
      <c r="E41" s="122" t="str">
        <v>production system</v>
      </c>
      <c r="F41" s="123"/>
      <c r="G41" s="113" t="str">
        <v/>
      </c>
      <c r="H41" s="114" t="str">
        <v>Input</v>
      </c>
      <c r="I41" s="113" t="str">
        <f>X_Cell_Poultry_ManureAppliedProductionSystem</f>
        <v>Crop</v>
      </c>
      <c r="M41" s="113" t="str">
        <v>j</v>
      </c>
      <c r="N41" s="122" t="str">
        <v>production system</v>
      </c>
      <c r="O41" s="123"/>
      <c r="P41" s="113" t="str">
        <v/>
      </c>
      <c r="Q41" s="114" t="str">
        <v>Input</v>
      </c>
      <c r="R41" s="126"/>
    </row>
    <row r="42" spans="1:18" ht="20.100000000000001" customHeight="1" x14ac:dyDescent="0.2">
      <c r="A42" s="5" t="str">
        <f>HYPERLINK("#'5.1.1.3-4 Inorganic fert CO2'!A1", "5.1.1.3-4 Inorganic fert CO2")</f>
        <v>5.1.1.3-4 Inorganic fert CO2</v>
      </c>
      <c r="D42" s="113" t="str">
        <v>ir</v>
      </c>
      <c r="E42" s="122" t="str">
        <v>irrigation method</v>
      </c>
      <c r="F42" s="123"/>
      <c r="G42" s="113" t="str">
        <v/>
      </c>
      <c r="H42" s="114" t="str">
        <v>Input</v>
      </c>
      <c r="I42" s="113" t="str">
        <f>X_Cell_Poultry_ManureAppliedIrrigationMethod</f>
        <v>Sprinkler irrigation</v>
      </c>
      <c r="M42" s="113" t="str">
        <v>ir</v>
      </c>
      <c r="N42" s="122" t="str">
        <v>irrigation method</v>
      </c>
      <c r="O42" s="123"/>
      <c r="P42" s="113" t="str">
        <v/>
      </c>
      <c r="Q42" s="114" t="str">
        <v>Input</v>
      </c>
      <c r="R42" s="126"/>
    </row>
    <row r="43" spans="1:18" ht="20.100000000000001" customHeight="1" x14ac:dyDescent="0.2">
      <c r="A43" s="5" t="str">
        <f>HYPERLINK("#'5.2.1.1-2 Organic Fert N2O'!A1", "5.2.1.1-2 Organic Fert N2O")</f>
        <v>5.2.1.1-2 Organic Fert N2O</v>
      </c>
      <c r="D43" s="113" t="str">
        <v>r</v>
      </c>
      <c r="E43" s="122" t="str">
        <v>rainfall region</v>
      </c>
      <c r="F43" s="123"/>
      <c r="G43" s="113" t="str">
        <v/>
      </c>
      <c r="H43" s="114" t="str">
        <v>Input</v>
      </c>
      <c r="I43" s="113" t="str">
        <f>X_Cell_Site_RainfallZone</f>
        <v>High rainfall</v>
      </c>
      <c r="M43" s="113" t="str">
        <v>r</v>
      </c>
      <c r="N43" s="122" t="str">
        <v>rainfall region</v>
      </c>
      <c r="O43" s="123"/>
      <c r="P43" s="113" t="str">
        <v/>
      </c>
      <c r="Q43" s="114" t="str">
        <v>Input</v>
      </c>
      <c r="R43" s="126"/>
    </row>
    <row r="44" spans="1:18" ht="20.100000000000001" customHeight="1" x14ac:dyDescent="0.2">
      <c r="A44" s="5" t="str">
        <f>HYPERLINK("#'5.3.1.1-2 Lime CO2'!A1", "5.3.1.1-2 Lime CO2")</f>
        <v>5.3.1.1-2 Lime CO2</v>
      </c>
    </row>
    <row r="45" spans="1:18" ht="20.100000000000001" customHeight="1" x14ac:dyDescent="0.2">
      <c r="A45" s="5" t="str">
        <f>HYPERLINK("#'5.4.1.1-4 Atmos deposition'!A1", "5.4.1.1-4 Atmos deposition")</f>
        <v>5.4.1.1-4 Atmos deposition</v>
      </c>
      <c r="D45" s="85" t="s">
        <v>435</v>
      </c>
      <c r="E45" s="86" cm="1">
        <f t="array" ref="E45">MMS_Poultry_Soil_AtmosphericDeposition_Equations.VEERG_4_6_1_12__1_AtmosphericDepositionEmissionsFromPoultryManureOnPasture(I38,$I$39,$I$40)</f>
        <v>1.72240992E-5</v>
      </c>
      <c r="F45" s="95" t="str">
        <f>$E$36</f>
        <v>t N2O</v>
      </c>
      <c r="M45" s="85" t="s">
        <v>435</v>
      </c>
      <c r="N45" s="86" cm="1">
        <f t="array" ref="N45">MMS_Poultry_Soil_AtmosphericDeposition_Equations.VEERG_4_6_1_12__1_AtmosphericDepositionEmissionsFromPoultryManureOnPasture(R38,$I$39,$I$40)</f>
        <v>1.72240992E-5</v>
      </c>
      <c r="O45" s="95" t="str">
        <f>$E$36</f>
        <v>t N2O</v>
      </c>
    </row>
    <row r="46" spans="1:18" ht="20.100000000000001" customHeight="1" x14ac:dyDescent="0.2">
      <c r="A46" s="5" t="str">
        <f>HYPERLINK("#'5.5.1.1-2 Leaching and runoff'!A1", "5.5.1.1-2 Leaching and runoff")</f>
        <v>5.5.1.1-2 Leaching and runoff</v>
      </c>
    </row>
    <row r="47" spans="1:18" ht="20.100000000000001" customHeight="1" x14ac:dyDescent="0.2">
      <c r="D47" s="126" t="str" cm="1">
        <f t="array" ref="D47:E48">Common_Equations.Common_ConvertN2OToCO2e_Arguments()</f>
        <v>EN2O</v>
      </c>
      <c r="E47" s="129" t="str">
        <v>Nitrous oxide emissions (t N2O)</v>
      </c>
      <c r="F47" s="130"/>
      <c r="G47" s="15">
        <f>VEERG_4_6_1_12__1_AtmosphericDepositionEmissionsFromPoultryManureOnPasture_Result_Method1</f>
        <v>1.72240992E-5</v>
      </c>
      <c r="M47" s="126" t="str" cm="1">
        <f t="array" ref="M47:N48">Common_Equations.Common_ConvertN2OToCO2e_Arguments()</f>
        <v>EN2O</v>
      </c>
      <c r="N47" s="129" t="str">
        <v>Nitrous oxide emissions (t N2O)</v>
      </c>
      <c r="O47" s="130"/>
      <c r="P47" s="15">
        <f>VEERG_4_6_1_12__1_AtmosphericDepositionEmissionsFromPoultryManureOnPasture_Result_Method2</f>
        <v>1.72240992E-5</v>
      </c>
    </row>
    <row r="48" spans="1:18" ht="20.100000000000001" customHeight="1" x14ac:dyDescent="0.2">
      <c r="D48" s="126" t="str">
        <v>GWPN2O</v>
      </c>
      <c r="E48" s="129" t="str">
        <v>Global warming potential for nitrous oxide (t CO2-e / t N2O)</v>
      </c>
      <c r="F48" s="130"/>
      <c r="G48" s="15">
        <f>Common_InputFunctions.Utility_LookupValueInTableNumber("N2O", Table_GWPData[Gas],Table_GWPData[CO2-e factor])</f>
        <v>265</v>
      </c>
      <c r="M48" s="126" t="str">
        <v>GWPN2O</v>
      </c>
      <c r="N48" s="129" t="str">
        <v>Global warming potential for nitrous oxide (t CO2-e / t N2O)</v>
      </c>
      <c r="O48" s="130"/>
      <c r="P48" s="15">
        <f>Common_InputFunctions.Utility_LookupValueInTableNumber("N2O", Table_GWPData[Gas],Table_GWPData[CO2-e factor])</f>
        <v>265</v>
      </c>
    </row>
    <row r="49" spans="1:15" ht="20.100000000000001" customHeight="1" x14ac:dyDescent="0.2">
      <c r="A49" s="80" t="s">
        <v>1</v>
      </c>
    </row>
    <row r="50" spans="1:15" ht="20.100000000000001" customHeight="1" x14ac:dyDescent="0.2">
      <c r="A50" s="5" t="str">
        <f>HYPERLINK("#'Constants - Poultry'!A1", "Constants - Poultry")</f>
        <v>Constants - Poultry</v>
      </c>
      <c r="D50" s="83" t="s">
        <v>377</v>
      </c>
      <c r="E50" s="83" cm="1">
        <f t="array" ref="E50">Common_Equations.Common_ConvertN2OToCO2e(G47,G48)</f>
        <v>4.5643862879999999E-3</v>
      </c>
      <c r="F50" s="89" t="str" cm="1">
        <f t="array" ref="F50">Common_Equations.Common_ConvertN2OToCO2e_Unit()</f>
        <v>t CO2e</v>
      </c>
      <c r="M50" s="83" t="s">
        <v>377</v>
      </c>
      <c r="N50" s="83" cm="1">
        <f t="array" ref="N50">Common_Equations.Common_ConvertN2OToCO2e(P47,P48)</f>
        <v>4.5643862879999999E-3</v>
      </c>
      <c r="O50" s="89" t="str" cm="1">
        <f t="array" ref="O50">Common_Equations.Common_ConvertN2OToCO2e_Unit()</f>
        <v>t CO2e</v>
      </c>
    </row>
    <row r="51" spans="1:15" ht="20.100000000000001" customHeight="1" x14ac:dyDescent="0.2">
      <c r="A51" s="5" t="str">
        <f>HYPERLINK("#'Constants - Common livestock'!A1", "Constants - Common Livestock")</f>
        <v>Constants - Common Livestock</v>
      </c>
    </row>
    <row r="52" spans="1:15" ht="20.100000000000001" customHeight="1" x14ac:dyDescent="0.2">
      <c r="A52" s="5" t="str">
        <f>HYPERLINK("#'Constants - Electricity'!A1", "Constants - Electricity")</f>
        <v>Constants - Electricity</v>
      </c>
    </row>
    <row r="53" spans="1:15" ht="20.100000000000001" customHeight="1" x14ac:dyDescent="0.2">
      <c r="A53" s="5" t="str">
        <f>HYPERLINK("#'Constants - Fertiliser'!A1", "Constants - Fertiliser")</f>
        <v>Constants - Fertiliser</v>
      </c>
    </row>
    <row r="54" spans="1:15" ht="20.100000000000001" customHeight="1" x14ac:dyDescent="0.2">
      <c r="A54" s="5" t="str">
        <f>HYPERLINK("#'Constants - Fuel'!A1", "Constants - Fuel")</f>
        <v>Constants - Fuel</v>
      </c>
    </row>
    <row r="55" spans="1:15" ht="20.100000000000001" customHeight="1" x14ac:dyDescent="0.2">
      <c r="A55" s="5" t="str">
        <f>HYPERLINK("#'Constants - Scope 3'!A1", "Constants - Scope 3")</f>
        <v>Constants - Scope 3</v>
      </c>
    </row>
    <row r="56" spans="1:15" ht="20.100000000000001" customHeight="1" x14ac:dyDescent="0.2">
      <c r="A56" s="5" t="str">
        <f>HYPERLINK("#'Constants - Solid Waste'!A1", "Constants - Solid Waste")</f>
        <v>Constants - Solid Waste</v>
      </c>
    </row>
    <row r="57" spans="1:15"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B8933-B100-443C-9142-F31E52A67161}">
  <sheetPr>
    <tabColor rgb="FF008000"/>
  </sheetPr>
  <dimension ref="A1:U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489</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M3" s="22"/>
      <c r="N3" s="22" t="s">
        <v>130</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
      <c r="D6" s="17" t="str" cm="1">
        <f t="array" ref="D6">MMS_Poultry_Soil_LeachingAndRunoff_Equations.VEERG_4_6_1_14__2_MassOfNitrogenLostToLeachingAndRunoffFromPoultryManureOnPasture_Source()</f>
        <v>VEERG 2026: 4.6.1.14, Equation (2)</v>
      </c>
    </row>
    <row r="7" spans="1:21" ht="20.100000000000001" customHeight="1" x14ac:dyDescent="0.2">
      <c r="D7" s="112" t="s">
        <v>328</v>
      </c>
      <c r="E7" s="112"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MMS_Poultry_Soil_LeachingAndRunoff_Equations.VEERG_4_6_1_14__2_MassOfNitrogenLostToLeachingAndRunoffFromPoultryManureOnPasture_Variable()</f>
        <v>M_leach_m14</v>
      </c>
    </row>
    <row r="11" spans="1:21" ht="20.100000000000001" customHeight="1" x14ac:dyDescent="0.2">
      <c r="A11" s="5" t="str">
        <f>HYPERLINK("#'Input - Poultry'!A1", "Poultry")</f>
        <v>Poultry</v>
      </c>
      <c r="D11" s="75" t="s">
        <v>118</v>
      </c>
      <c r="E11" s="9" t="str" cm="1">
        <f t="array" ref="E11">MMS_Poultry_Soil_LeachingAndRunoff_Equations.VEERG_4_6_1_14__2_MassOfNitrogenLostToLeachingAndRunoffFromPoultryManureOnPasture_Unit()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18">_xlfn.CHOOSECOLS(MMS_Poultry_Soil_LeachingAndRunoff_Equations.VEERG_4_6_1_14__2_MassOfNitrogenLostToLeachingAndRunoffFromPoultryManureOnPasture_Arguments(),1,2)</f>
        <v>MN_jkm14T1</v>
      </c>
      <c r="E13" s="122" t="str">
        <v>mass of nitrogen excreted directly on pasture by poultry class and subclass</v>
      </c>
      <c r="F13" s="123"/>
      <c r="G13" s="113" t="str" cm="1">
        <f t="array" ref="G13:H18">_xlfn.CHOOSECOLS(MMS_Poultry_Soil_LeachingAndRunoff_Equations.VEERG_4_6_1_14__2_MassOfNitrogenLostToLeachingAndRunoffFromPoultryManureOnPasture_Arguments(),3,4)</f>
        <v>kg N</v>
      </c>
      <c r="H13" s="115" t="str">
        <v>Calculated from 4.6.1.3 (2)</v>
      </c>
      <c r="I13" s="116" t="str" cm="1">
        <f t="array" aca="1" ref="I13" ca="1">HYPERLINK(Common_InputFunctions.Utility_SourceHyperlink($D$20),$D$20)</f>
        <v>M1_Table_MN_j_k_m-14_T-1</v>
      </c>
    </row>
    <row r="14" spans="1:21" ht="20.100000000000001" customHeight="1" x14ac:dyDescent="0.2">
      <c r="A14" s="5" t="str">
        <f>HYPERLINK("#'Input - Fuel'!A1", "Fuel")</f>
        <v>Fuel</v>
      </c>
      <c r="D14" s="113" t="str">
        <v>FracWet</v>
      </c>
      <c r="E14" s="122" t="str">
        <v>fraction of N available for leaching and runoff</v>
      </c>
      <c r="F14" s="123"/>
      <c r="G14" s="113" t="str">
        <v>fraction</v>
      </c>
      <c r="H14" s="115" t="str">
        <v>Constant</v>
      </c>
      <c r="I14" s="113">
        <f>Common_InputFunctions.CommonCropping_GetFracWET(I16,I18,Table_SourceData_FracWET[Is in leaching zone],Table_SourceData_FracWET[FracWET],Table_SourceData_FracWETIrrigation[Irrigation type i],Table_SourceData_FracWETIrrigation[FracWET])</f>
        <v>1</v>
      </c>
    </row>
    <row r="15" spans="1:21" ht="20.100000000000001" customHeight="1" x14ac:dyDescent="0.2">
      <c r="A15" s="5" t="str">
        <f>HYPERLINK("#'Input - Electricity'!A1", "Electricity")</f>
        <v>Electricity</v>
      </c>
      <c r="D15" s="113" t="str">
        <v>FracLEACH_MS</v>
      </c>
      <c r="E15" s="122" t="str">
        <v>fraction of N that is lost through leaching and runoff</v>
      </c>
      <c r="F15" s="123"/>
      <c r="G15" s="113" t="str">
        <v>fraction</v>
      </c>
      <c r="H15" s="115" t="str">
        <v>Constant</v>
      </c>
      <c r="I15" s="113">
        <f>SourceData_Poultry_FractionOfNitrogenLostThroughLeachingAndRunoff_Data</f>
        <v>0.02</v>
      </c>
    </row>
    <row r="16" spans="1:21" ht="20.100000000000001" customHeight="1" x14ac:dyDescent="0.2">
      <c r="A16" s="5" t="str">
        <f>HYPERLINK("#'Input - Common farm inputs'!A1", "Common farm inputs")</f>
        <v>Common farm inputs</v>
      </c>
      <c r="D16" s="113" t="str">
        <v>z</v>
      </c>
      <c r="E16" s="122" t="str">
        <v>location in leaching zone</v>
      </c>
      <c r="F16" s="123"/>
      <c r="G16" s="113" t="str">
        <v/>
      </c>
      <c r="H16" s="114" t="str">
        <v>Input</v>
      </c>
      <c r="I16" s="113" t="str">
        <f>X_Cell_Site_LeachingZone</f>
        <v>NO - Not in leaching zone</v>
      </c>
    </row>
    <row r="17" spans="1:20" ht="20.100000000000001" customHeight="1" x14ac:dyDescent="0.2">
      <c r="A17" s="5" t="str">
        <f>HYPERLINK("#'Input - Livestock farm Inputs'!A1", "Livestock farm Inputs")</f>
        <v>Livestock farm Inputs</v>
      </c>
      <c r="D17" s="113" t="str">
        <v>j</v>
      </c>
      <c r="E17" s="122" t="str">
        <v>production system</v>
      </c>
      <c r="F17" s="123"/>
      <c r="G17" s="113" t="str">
        <v/>
      </c>
      <c r="H17" s="114" t="str">
        <v>Input</v>
      </c>
      <c r="I17" s="113" t="str">
        <f>X_Cell_Poultry_ManureAppliedProductionSystem</f>
        <v>Crop</v>
      </c>
    </row>
    <row r="18" spans="1:20" ht="20.100000000000001" customHeight="1" x14ac:dyDescent="0.2">
      <c r="A18" s="5" t="str">
        <f>HYPERLINK("#'Input - Freight'!A1", "Freight")</f>
        <v>Freight</v>
      </c>
      <c r="D18" s="113" t="str">
        <v>ir</v>
      </c>
      <c r="E18" s="122" t="str">
        <v>irrigation method</v>
      </c>
      <c r="F18" s="123"/>
      <c r="G18" s="113" t="str">
        <v/>
      </c>
      <c r="H18" s="114" t="str">
        <v>Input</v>
      </c>
      <c r="I18" s="113" t="str">
        <f>X_Cell_Poultry_ManureAppliedIrrigationMethod</f>
        <v>Sprinkler irrigation</v>
      </c>
    </row>
    <row r="19" spans="1:20" ht="20.100000000000001" customHeight="1" x14ac:dyDescent="0.2">
      <c r="A19" s="5" t="str">
        <f>HYPERLINK("#'Input - Solid waste'!A1", "Solid waste")</f>
        <v>Solid waste</v>
      </c>
    </row>
    <row r="20" spans="1:20" ht="20.100000000000001" customHeight="1" x14ac:dyDescent="0.2">
      <c r="A20" s="5" t="str">
        <f>HYPERLINK("#'Input - Manure sent off-site'!A1", "Manure sent off-site")</f>
        <v>Manure sent off-site</v>
      </c>
      <c r="D20" s="118" t="s">
        <v>475</v>
      </c>
      <c r="N20" s="118" t="s">
        <v>476</v>
      </c>
    </row>
    <row r="21" spans="1:20" ht="20.100000000000001" customHeight="1" x14ac:dyDescent="0.2">
      <c r="A21" s="5" t="str">
        <f>HYPERLINK("#'Input - Data quality'!A1", "Data quality")</f>
        <v>Data quality</v>
      </c>
      <c r="D21" s="119" t="s">
        <v>477</v>
      </c>
      <c r="N21" s="119" t="s">
        <v>478</v>
      </c>
    </row>
    <row r="22" spans="1:20" ht="20.100000000000001" customHeight="1" x14ac:dyDescent="0.2">
      <c r="A22" s="5" t="str">
        <f>HYPERLINK("#'Input - Fert Prod System'!A1", "Fert Prod System")</f>
        <v>Fert Prod System</v>
      </c>
      <c r="D22" s="120" t="s">
        <v>314</v>
      </c>
      <c r="E22" s="120" t="s">
        <v>297</v>
      </c>
      <c r="F22" s="120" t="s">
        <v>298</v>
      </c>
      <c r="G22" s="120" t="s">
        <v>299</v>
      </c>
      <c r="H22" s="120" t="s">
        <v>300</v>
      </c>
      <c r="N22" s="120" t="s">
        <v>314</v>
      </c>
      <c r="O22" s="120" t="s">
        <v>297</v>
      </c>
      <c r="P22" s="120" t="s">
        <v>298</v>
      </c>
      <c r="Q22" s="120" t="s">
        <v>299</v>
      </c>
      <c r="R22" s="120" t="s">
        <v>300</v>
      </c>
    </row>
    <row r="23" spans="1:20" ht="20.100000000000001" customHeight="1" x14ac:dyDescent="0.2">
      <c r="A23" s="5" t="str">
        <f>HYPERLINK("#'Input - Fertiliser'!A1", "Fertiliser")</f>
        <v>Fertiliser</v>
      </c>
      <c r="D23" s="15" t="str">
        <f>INDEX(X_Table_Poultry_Stage1MMS,5,1)</f>
        <v>Pasture range and paddock</v>
      </c>
      <c r="E23" s="15">
        <f>INDEX(M1_Table_MN_j_k_m_T1,5,2)</f>
        <v>1.6993600000000004</v>
      </c>
      <c r="F23" s="15">
        <f>INDEX(M1_Table_MN_j_k_m_T1,5,3)</f>
        <v>1.8138719999999999</v>
      </c>
      <c r="G23" s="15">
        <f>INDEX(M1_Table_MN_j_k_m_T1,5,4)</f>
        <v>2.129216</v>
      </c>
      <c r="H23" s="15">
        <f>INDEX(M1_Table_MN_j_k_m_T1,5,5)</f>
        <v>1.8138719999999999</v>
      </c>
      <c r="I23" s="16" t="str">
        <f>$G$13</f>
        <v>kg N</v>
      </c>
      <c r="J23" s="16"/>
      <c r="N23" s="15" t="str">
        <f>INDEX(X_Table_Poultry_Stage1MMS,5,1)</f>
        <v>Pasture range and paddock</v>
      </c>
      <c r="O23" s="15">
        <f>INDEX(M2_Table_MN_j_k_m_T1,5,2)</f>
        <v>1.6993600000000004</v>
      </c>
      <c r="P23" s="15">
        <f>INDEX(M2_Table_MN_j_k_m_T1,5,3)</f>
        <v>1.8138719999999999</v>
      </c>
      <c r="Q23" s="15">
        <f>INDEX(M2_Table_MN_j_k_m_T1,5,4)</f>
        <v>2.129216</v>
      </c>
      <c r="R23" s="15">
        <f>INDEX(M2_Table_MN_j_k_m_T1,5,5)</f>
        <v>1.8138719999999999</v>
      </c>
      <c r="S23" s="16" t="str">
        <f>$G$13</f>
        <v>kg N</v>
      </c>
      <c r="T23" s="16"/>
    </row>
    <row r="25" spans="1:20" ht="20.100000000000001" customHeight="1" x14ac:dyDescent="0.2">
      <c r="D25" s="118" t="s">
        <v>486</v>
      </c>
      <c r="N25" s="118" t="s">
        <v>487</v>
      </c>
    </row>
    <row r="26" spans="1:20" ht="20.100000000000001" customHeight="1" x14ac:dyDescent="0.2">
      <c r="A26" s="6" t="s">
        <v>2</v>
      </c>
      <c r="D26" s="119" t="s">
        <v>477</v>
      </c>
      <c r="N26" s="119" t="s">
        <v>478</v>
      </c>
    </row>
    <row r="27" spans="1:20" ht="20.100000000000001" customHeight="1" x14ac:dyDescent="0.2">
      <c r="A27" s="5" t="str">
        <f>HYPERLINK("#'4.6.1.1-2 Methane'!A1", "4.6.1.1-2 Manure Methane")</f>
        <v>4.6.1.1-2 Manure Methane</v>
      </c>
      <c r="D27" s="120" t="s">
        <v>314</v>
      </c>
      <c r="E27" s="120" t="s">
        <v>297</v>
      </c>
      <c r="F27" s="120" t="s">
        <v>298</v>
      </c>
      <c r="G27" s="120" t="s">
        <v>299</v>
      </c>
      <c r="H27" s="120" t="s">
        <v>300</v>
      </c>
      <c r="N27" s="120" t="s">
        <v>314</v>
      </c>
      <c r="O27" s="120" t="s">
        <v>297</v>
      </c>
      <c r="P27" s="120" t="s">
        <v>298</v>
      </c>
      <c r="Q27" s="120" t="s">
        <v>299</v>
      </c>
      <c r="R27" s="120" t="s">
        <v>300</v>
      </c>
    </row>
    <row r="28" spans="1:20" ht="20.100000000000001" customHeight="1" x14ac:dyDescent="0.2">
      <c r="A28" s="5" t="str">
        <f>HYPERLINK("#'4.6.1.3-4 Direct N20'!A1", "4.6.1.3-4 Manure Direct N2O")</f>
        <v>4.6.1.3-4 Manure Direct N2O</v>
      </c>
      <c r="D28" s="15" t="str">
        <f>INDEX(X_Table_Poultry_Stage1MMS,5,1)</f>
        <v>Pasture range and paddock</v>
      </c>
      <c r="E28" s="15" cm="1">
        <f t="array" ref="E28">MMS_Poultry_Soil_LeachingAndRunoff_Equations.VEERG_4_6_1_14__2_MassOfNitrogenLostToLeachingAndRunoffFromPoultryManureOnPasture(E23,$I$14,$I$15)</f>
        <v>3.3987200000000009E-2</v>
      </c>
      <c r="F28" s="15" cm="1">
        <f t="array" ref="F28">MMS_Poultry_Soil_LeachingAndRunoff_Equations.VEERG_4_6_1_14__2_MassOfNitrogenLostToLeachingAndRunoffFromPoultryManureOnPasture(F23,$I$14,$I$15)</f>
        <v>3.6277440000000001E-2</v>
      </c>
      <c r="G28" s="15" cm="1">
        <f t="array" ref="G28">MMS_Poultry_Soil_LeachingAndRunoff_Equations.VEERG_4_6_1_14__2_MassOfNitrogenLostToLeachingAndRunoffFromPoultryManureOnPasture(G23,$I$14,$I$15)</f>
        <v>4.2584320000000002E-2</v>
      </c>
      <c r="H28" s="15" cm="1">
        <f t="array" ref="H28">MMS_Poultry_Soil_LeachingAndRunoff_Equations.VEERG_4_6_1_14__2_MassOfNitrogenLostToLeachingAndRunoffFromPoultryManureOnPasture(H23,$I$14,$I$15)</f>
        <v>3.6277440000000001E-2</v>
      </c>
      <c r="I28" s="16" t="str">
        <f>$E$11</f>
        <v>kg N</v>
      </c>
      <c r="J28" s="16"/>
      <c r="N28" s="15" t="str">
        <f>INDEX(X_Table_Poultry_Stage1MMS,5,1)</f>
        <v>Pasture range and paddock</v>
      </c>
      <c r="O28" s="15" cm="1">
        <f t="array" ref="O28">MMS_Poultry_Soil_LeachingAndRunoff_Equations.VEERG_4_6_1_14__2_MassOfNitrogenLostToLeachingAndRunoffFromPoultryManureOnPasture(O23,$I$14,$I$15)</f>
        <v>3.3987200000000009E-2</v>
      </c>
      <c r="P28" s="15" cm="1">
        <f t="array" ref="P28">MMS_Poultry_Soil_LeachingAndRunoff_Equations.VEERG_4_6_1_14__2_MassOfNitrogenLostToLeachingAndRunoffFromPoultryManureOnPasture(P23,$I$14,$I$15)</f>
        <v>3.6277440000000001E-2</v>
      </c>
      <c r="Q28" s="15" cm="1">
        <f t="array" ref="Q28">MMS_Poultry_Soil_LeachingAndRunoff_Equations.VEERG_4_6_1_14__2_MassOfNitrogenLostToLeachingAndRunoffFromPoultryManureOnPasture(Q23,$I$14,$I$15)</f>
        <v>4.2584320000000002E-2</v>
      </c>
      <c r="R28" s="15" cm="1">
        <f t="array" ref="R28">MMS_Poultry_Soil_LeachingAndRunoff_Equations.VEERG_4_6_1_14__2_MassOfNitrogenLostToLeachingAndRunoffFromPoultryManureOnPasture(R23,$I$14,$I$15)</f>
        <v>3.6277440000000001E-2</v>
      </c>
      <c r="S28" s="16" t="str">
        <f>$E$11</f>
        <v>kg N</v>
      </c>
      <c r="T28" s="16"/>
    </row>
    <row r="29" spans="1:20" ht="20.100000000000001" customHeight="1" x14ac:dyDescent="0.2">
      <c r="A29" s="5" t="str">
        <f>HYPERLINK("#'4.6.1.5-6 Atmos Dep'!A1", "4.6.1.5-6 Manure Atmos Dep")</f>
        <v>4.6.1.5-6 Manure Atmos Dep</v>
      </c>
    </row>
    <row r="30" spans="1:20" ht="20.100000000000001" customHeight="1" x14ac:dyDescent="0.2">
      <c r="A30" s="5" t="str">
        <f>HYPERLINK("#'4.6.1.7-8 Leaching and runoff'!A1", "4.6.1.7-8 Manure Leaching and runoff")</f>
        <v>4.6.1.7-8 Manure Leaching and runoff</v>
      </c>
      <c r="D30" s="88" t="s">
        <v>490</v>
      </c>
      <c r="E30" s="83">
        <f>SUM(E28:H28)</f>
        <v>0.14912640000000002</v>
      </c>
      <c r="F30" s="89" t="str">
        <f>$E$11</f>
        <v>kg N</v>
      </c>
      <c r="N30" s="88" t="s">
        <v>490</v>
      </c>
      <c r="O30" s="83">
        <f>SUM(O28:R28)</f>
        <v>0.14912640000000002</v>
      </c>
      <c r="P30" s="89" t="str">
        <f>$E$11</f>
        <v>kg N</v>
      </c>
    </row>
    <row r="31" spans="1:20" ht="20.100000000000001" customHeight="1" x14ac:dyDescent="0.2">
      <c r="A31" s="5" t="str">
        <f>HYPERLINK("#'4.6.1.9 Manure applied to soils'!A1", "4.6.1.9 Manure applied to soils")</f>
        <v>4.6.1.9 Manure applied to soils</v>
      </c>
    </row>
    <row r="32" spans="1:20" ht="20.100000000000001" customHeight="1" x14ac:dyDescent="0.2">
      <c r="A32" s="5" t="str">
        <f>HYPERLINK("#'4.6.1.10-11 Soil direct N2O'!A1", "4.6.1.10-11 Soil direct N2O")</f>
        <v>4.6.1.10-11 Soil direct N2O</v>
      </c>
    </row>
    <row r="33" spans="1:21" ht="20.100000000000001" customHeight="1" x14ac:dyDescent="0.2">
      <c r="A33" s="5" t="str">
        <f>HYPERLINK("#'4.6.1.12-13 Soil atmos dep'!A1", "4.6.1.12-13 Soil atmos dep")</f>
        <v>4.6.1.12-13 Soil atmos dep</v>
      </c>
      <c r="C33" s="121"/>
      <c r="D33" s="121"/>
      <c r="E33" s="121"/>
      <c r="F33" s="121"/>
      <c r="G33" s="121"/>
      <c r="H33" s="121"/>
      <c r="I33" s="121"/>
      <c r="J33" s="121"/>
      <c r="K33" s="121"/>
      <c r="M33" s="121"/>
      <c r="N33" s="121"/>
      <c r="O33" s="121"/>
      <c r="P33" s="121"/>
      <c r="Q33" s="121"/>
      <c r="R33" s="121"/>
      <c r="S33" s="121"/>
      <c r="T33" s="121"/>
      <c r="U33" s="121"/>
    </row>
    <row r="34" spans="1:21" ht="20.100000000000001" customHeight="1" x14ac:dyDescent="0.2">
      <c r="A34" s="117" t="str">
        <f>HYPERLINK("#'4.6.1.14-15 Soil leach runoff'!A1", "4.6.1.14-15 Soil leach runoff")</f>
        <v>4.6.1.14-15 Soil leach runoff</v>
      </c>
    </row>
    <row r="35" spans="1:21" ht="20.100000000000001" customHeight="1" x14ac:dyDescent="0.2">
      <c r="A35" s="5" t="str">
        <f>HYPERLINK("#'8.1.1.1-2 Transport fuel'!A1", "8.1.1.1-2 Transport fuel")</f>
        <v>8.1.1.1-2 Transport fuel</v>
      </c>
      <c r="D35" s="2" t="str" cm="1">
        <f t="array" ref="D35">MMS_Poultry_Soil_LeachingAndRunoff_Equations.VEERG_4_6_1_14__1_LeachingAndRunoffEmissionsFromPoultryManureOnPasture_Title()</f>
        <v>Leaching and runoff emissions from poultry manure deposited on pasture</v>
      </c>
    </row>
    <row r="36" spans="1:21" ht="20.100000000000001" customHeight="1" x14ac:dyDescent="0.2">
      <c r="A36" s="5" t="str">
        <f>HYPERLINK("#'8.2.1.1-2 Stationary fuel'!A1", "8.2.1.1-2 Stationary fuel")</f>
        <v>8.2.1.1-2 Stationary fuel</v>
      </c>
      <c r="D36" s="17" t="str" cm="1">
        <f t="array" ref="D36">MMS_Poultry_Soil_LeachingAndRunoff_Equations.VEERG_4_6_1_14__1_LeachingAndRunoffEmissionsFromPoultryManureOnPasture_Source()</f>
        <v>VEERG 2026: 4.6.1.14, Equation (1)</v>
      </c>
    </row>
    <row r="37" spans="1:21" ht="20.100000000000001" customHeight="1" x14ac:dyDescent="0.2">
      <c r="A37" s="5" t="str">
        <f>HYPERLINK("#'10.1.1-2 Solid waste treatment'!A1", "10.1.1.1-2 Solid waste")</f>
        <v>10.1.1.1-2 Solid waste</v>
      </c>
      <c r="D37" s="112" t="s">
        <v>328</v>
      </c>
      <c r="E37" s="112" t="str">
        <f ca="1">Common_InputFunctions.Utility_DisplayFunctionName(VEERG_4_6_1_14__1_LeachingAndRunoffEmissionsFromPoultryManureOnPasture_Result_Method1)</f>
        <v>=MMS_Poultry_Soil_LeachingAndRunoff_Equations.VEERG_4_6_1_14__1_LeachingAndRunoffEmissionsFromPoultryManureOnPasture</v>
      </c>
    </row>
    <row r="38" spans="1:21" ht="20.100000000000001" customHeight="1" x14ac:dyDescent="0.2">
      <c r="A38" s="5" t="str">
        <f>HYPERLINK("#'14.1.1-2 Purchased electricity'!A1", "14.1.1-2 Purchased electricity")</f>
        <v>14.1.1-2 Purchased electricity</v>
      </c>
    </row>
    <row r="39" spans="1:21" ht="20.100000000000001" customHeight="1" x14ac:dyDescent="0.2">
      <c r="A39" s="5" t="str">
        <f>HYPERLINK("#'15 Scope 3'!A1", "15 Scope 3")</f>
        <v>15 Scope 3</v>
      </c>
    </row>
    <row r="40" spans="1:21" ht="20.100000000000001" customHeight="1" x14ac:dyDescent="0.2">
      <c r="A40" s="5" t="str">
        <f>HYPERLINK("#'Calcs - Manure sent off-site'!A1", "Calcs - Manure sent off-site")</f>
        <v>Calcs - Manure sent off-site</v>
      </c>
      <c r="D40" s="75" t="s">
        <v>329</v>
      </c>
      <c r="E40" s="1" t="str" cm="1">
        <f t="array" ref="E40">MMS_Poultry_Soil_LeachingAndRunoff_Equations.VEERG_4_6_1_14__1_LeachingAndRunoffEmissionsFromPoultryManureOnPasture_Variable()</f>
        <v>E_N2Oleach</v>
      </c>
    </row>
    <row r="41" spans="1:21" ht="20.100000000000001" customHeight="1" x14ac:dyDescent="0.2">
      <c r="A41" s="5" t="str">
        <f>HYPERLINK("#'5.1.1.1-2 Inorganic fert N2O'!A1", "5.1.1.1-2 Inorganic fert N2O")</f>
        <v>5.1.1.1-2 Inorganic fert N2O</v>
      </c>
      <c r="D41" s="75" t="s">
        <v>118</v>
      </c>
      <c r="E41" s="9" t="str" cm="1">
        <f t="array" ref="E41">MMS_Poultry_Soil_LeachingAndRunoff_Equations.VEERG_4_6_1_14__1_LeachingAndRunoffEmissionsFromPoultryManureOnPasture_Unit()</f>
        <v>t N2O</v>
      </c>
    </row>
    <row r="42" spans="1:21" ht="20.100000000000001" customHeight="1" x14ac:dyDescent="0.2">
      <c r="A42" s="5" t="str">
        <f>HYPERLINK("#'5.1.1.3-4 Inorganic fert CO2'!A1", "5.1.1.3-4 Inorganic fert CO2")</f>
        <v>5.1.1.3-4 Inorganic fert CO2</v>
      </c>
    </row>
    <row r="43" spans="1:21" ht="20.100000000000001" customHeight="1" x14ac:dyDescent="0.2">
      <c r="A43" s="5" t="str">
        <f>HYPERLINK("#'5.2.1.1-2 Organic Fert N2O'!A1", "5.2.1.1-2 Organic Fert N2O")</f>
        <v>5.2.1.1-2 Organic Fert N2O</v>
      </c>
      <c r="D43" s="113" t="str" cm="1">
        <f t="array" ref="D43:E45">_xlfn.CHOOSECOLS(MMS_Poultry_Soil_LeachingAndRunoff_Equations.VEERG_4_6_1_14__1_LeachingAndRunoffEmissionsFromPoultryManureOnPasture_Arguments(),1,2)</f>
        <v>M_leach_m14</v>
      </c>
      <c r="E43" s="122" t="str">
        <v>mass of nitrogen lost to leaching and runoff from poultry manure deposited on pasture</v>
      </c>
      <c r="F43" s="136"/>
      <c r="G43" s="123"/>
      <c r="H43" s="113" t="str" cm="1">
        <f t="array" ref="H43:I45">_xlfn.CHOOSECOLS(MMS_Poultry_Soil_LeachingAndRunoff_Equations.VEERG_4_6_1_14__1_LeachingAndRunoffEmissionsFromPoultryManureOnPasture_Arguments(),3,4)</f>
        <v>kg N</v>
      </c>
      <c r="I43" s="115" t="str">
        <v>Calculated from 4.6.1.14 (2)</v>
      </c>
      <c r="J43" s="113">
        <f>E30</f>
        <v>0.14912640000000002</v>
      </c>
      <c r="N43" s="113" t="str" cm="1">
        <f t="array" ref="N43:O45">_xlfn.CHOOSECOLS(MMS_Poultry_Soil_LeachingAndRunoff_Equations.VEERG_4_6_1_14__1_LeachingAndRunoffEmissionsFromPoultryManureOnPasture_Arguments(),1,2)</f>
        <v>M_leach_m14</v>
      </c>
      <c r="O43" s="122" t="str">
        <v>mass of nitrogen lost to leaching and runoff from poultry manure deposited on pasture</v>
      </c>
      <c r="P43" s="136"/>
      <c r="Q43" s="123"/>
      <c r="R43" s="113" t="str" cm="1">
        <f t="array" ref="R43:S45">_xlfn.CHOOSECOLS(MMS_Poultry_Soil_LeachingAndRunoff_Equations.VEERG_4_6_1_14__1_LeachingAndRunoffEmissionsFromPoultryManureOnPasture_Arguments(),3,4)</f>
        <v>kg N</v>
      </c>
      <c r="S43" s="115" t="str">
        <v>Calculated from 4.6.1.14 (2)</v>
      </c>
      <c r="T43" s="126">
        <f>O30</f>
        <v>0.14912640000000002</v>
      </c>
    </row>
    <row r="44" spans="1:21" ht="20.100000000000001" customHeight="1" x14ac:dyDescent="0.2">
      <c r="A44" s="5" t="str">
        <f>HYPERLINK("#'5.3.1.1-2 Lime CO2'!A1", "5.3.1.1-2 Lime CO2")</f>
        <v>5.3.1.1-2 Lime CO2</v>
      </c>
      <c r="D44" s="113" t="str">
        <v>EF_leach</v>
      </c>
      <c r="E44" s="122" t="str">
        <v>emission factor for leaching and runoff (kg N2O-N/kg N)</v>
      </c>
      <c r="F44" s="136"/>
      <c r="G44" s="123"/>
      <c r="H44" s="113" t="str">
        <v>kg N2O-N/kg N</v>
      </c>
      <c r="I44" s="115" t="str">
        <v>Constant</v>
      </c>
      <c r="J44" s="113">
        <f>'Constants - Common'!$E$170</f>
        <v>1.0999999999999999E-2</v>
      </c>
      <c r="N44" s="113" t="str">
        <v>EF_leach</v>
      </c>
      <c r="O44" s="122" t="str">
        <v>emission factor for leaching and runoff (kg N2O-N/kg N)</v>
      </c>
      <c r="P44" s="136"/>
      <c r="Q44" s="123"/>
      <c r="R44" s="113" t="str">
        <v>kg N2O-N/kg N</v>
      </c>
      <c r="S44" s="115" t="str">
        <v>Constant</v>
      </c>
      <c r="T44" s="126"/>
    </row>
    <row r="45" spans="1:21" ht="20.100000000000001" customHeight="1" x14ac:dyDescent="0.2">
      <c r="A45" s="5" t="str">
        <f>HYPERLINK("#'5.4.1.1-4 Atmos deposition'!A1", "5.4.1.1-4 Atmos deposition")</f>
        <v>5.4.1.1-4 Atmos deposition</v>
      </c>
      <c r="D45" s="113" t="str">
        <v>C_N2O</v>
      </c>
      <c r="E45" s="122" t="str">
        <v>factor to convert elemental mass of N2O to molecular mass</v>
      </c>
      <c r="F45" s="136"/>
      <c r="G45" s="123"/>
      <c r="H45" s="113" t="str">
        <v>ratio</v>
      </c>
      <c r="I45" s="115" t="str">
        <v>Constant</v>
      </c>
      <c r="J45" s="113">
        <f>Common_InputFunctions.Utility_LookupValueInTableNumber("N2O",Table_GasToMolecularConversionFactor[Gas],Table_GasToMolecularConversionFactor[Conversion factor combined])</f>
        <v>1.5714285714285714</v>
      </c>
      <c r="N45" s="113" t="str">
        <v>C_N2O</v>
      </c>
      <c r="O45" s="122" t="str">
        <v>factor to convert elemental mass of N2O to molecular mass</v>
      </c>
      <c r="P45" s="136"/>
      <c r="Q45" s="123"/>
      <c r="R45" s="113" t="str">
        <v>ratio</v>
      </c>
      <c r="S45" s="115" t="str">
        <v>Constant</v>
      </c>
      <c r="T45" s="126"/>
    </row>
    <row r="46" spans="1:21" ht="20.100000000000001" customHeight="1" x14ac:dyDescent="0.2">
      <c r="A46" s="5" t="str">
        <f>HYPERLINK("#'5.5.1.1-2 Leaching and runoff'!A1", "5.5.1.1-2 Leaching and runoff")</f>
        <v>5.5.1.1-2 Leaching and runoff</v>
      </c>
    </row>
    <row r="47" spans="1:21" ht="20.100000000000001" customHeight="1" x14ac:dyDescent="0.2">
      <c r="D47" s="85" t="s">
        <v>435</v>
      </c>
      <c r="E47" s="86" cm="1">
        <f t="array" ref="E47">MMS_Poultry_Soil_LeachingAndRunoff_Equations.VEERG_4_6_1_14__1_LeachingAndRunoffEmissionsFromPoultryManureOnPasture(J43,$J$44,$J$45)</f>
        <v>2.5777563428571431E-6</v>
      </c>
      <c r="F47" s="95" t="str">
        <f>$E$41</f>
        <v>t N2O</v>
      </c>
      <c r="N47" s="85" t="s">
        <v>435</v>
      </c>
      <c r="O47" s="86" cm="1">
        <f t="array" ref="O47">MMS_Poultry_Soil_LeachingAndRunoff_Equations.VEERG_4_6_1_14__1_LeachingAndRunoffEmissionsFromPoultryManureOnPasture(T43,$J$44,$J$45)</f>
        <v>2.5777563428571431E-6</v>
      </c>
      <c r="P47" s="95" t="str">
        <f>$E$41</f>
        <v>t N2O</v>
      </c>
    </row>
    <row r="49" spans="1:17" ht="20.100000000000001" customHeight="1" x14ac:dyDescent="0.2">
      <c r="A49" s="80" t="s">
        <v>1</v>
      </c>
      <c r="D49" s="126" t="str" cm="1">
        <f t="array" ref="D49:E50">Common_Equations.Common_ConvertN2OToCO2e_Arguments()</f>
        <v>EN2O</v>
      </c>
      <c r="E49" s="129" t="str">
        <v>Nitrous oxide emissions (t N2O)</v>
      </c>
      <c r="F49" s="130"/>
      <c r="G49" s="15">
        <f>VEERG_4_6_1_14__1_LeachingAndRunoffEmissionsFromPoultryManureOnPasture_Result_Method1</f>
        <v>2.5777563428571431E-6</v>
      </c>
      <c r="N49" s="126" t="str" cm="1">
        <f t="array" ref="N49:O50">Common_Equations.Common_ConvertN2OToCO2e_Arguments()</f>
        <v>EN2O</v>
      </c>
      <c r="O49" s="129" t="str">
        <v>Nitrous oxide emissions (t N2O)</v>
      </c>
      <c r="P49" s="130"/>
      <c r="Q49" s="15">
        <f>VEERG_4_6_1_14__1_LeachingAndRunoffEmissionsFromPoultryManureOnPasture_Result_Method2</f>
        <v>2.5777563428571431E-6</v>
      </c>
    </row>
    <row r="50" spans="1:17" ht="20.100000000000001" customHeight="1" x14ac:dyDescent="0.2">
      <c r="A50" s="5" t="str">
        <f>HYPERLINK("#'Constants - Poultry'!A1", "Constants - Poultry")</f>
        <v>Constants - Poultry</v>
      </c>
      <c r="D50" s="126" t="str">
        <v>GWPN2O</v>
      </c>
      <c r="E50" s="129" t="str">
        <v>Global warming potential for nitrous oxide (t CO2-e / t N2O)</v>
      </c>
      <c r="F50" s="130"/>
      <c r="G50" s="15">
        <f>Common_InputFunctions.Utility_LookupValueInTableNumber("N2O", Table_GWPData[Gas],Table_GWPData[CO2-e factor])</f>
        <v>265</v>
      </c>
      <c r="N50" s="126" t="str">
        <v>GWPN2O</v>
      </c>
      <c r="O50" s="129" t="str">
        <v>Global warming potential for nitrous oxide (t CO2-e / t N2O)</v>
      </c>
      <c r="P50" s="130"/>
      <c r="Q50" s="15">
        <f>Common_InputFunctions.Utility_LookupValueInTableNumber("N2O", Table_GWPData[Gas],Table_GWPData[CO2-e factor])</f>
        <v>265</v>
      </c>
    </row>
    <row r="51" spans="1:17" ht="20.100000000000001" customHeight="1" x14ac:dyDescent="0.2">
      <c r="A51" s="5" t="str">
        <f>HYPERLINK("#'Constants - Common livestock'!A1", "Constants - Common Livestock")</f>
        <v>Constants - Common Livestock</v>
      </c>
    </row>
    <row r="52" spans="1:17" ht="20.100000000000001" customHeight="1" x14ac:dyDescent="0.2">
      <c r="A52" s="5" t="str">
        <f>HYPERLINK("#'Constants - Electricity'!A1", "Constants - Electricity")</f>
        <v>Constants - Electricity</v>
      </c>
      <c r="D52" s="83" t="s">
        <v>377</v>
      </c>
      <c r="E52" s="83" cm="1">
        <f t="array" ref="E52">Common_Equations.Common_ConvertN2OToCO2e(G49,G50)</f>
        <v>6.8310543085714286E-4</v>
      </c>
      <c r="F52" s="89" t="str" cm="1">
        <f t="array" ref="F52">Common_Equations.Common_ConvertN2OToCO2e_Unit()</f>
        <v>t CO2e</v>
      </c>
      <c r="N52" s="83" t="s">
        <v>377</v>
      </c>
      <c r="O52" s="83" cm="1">
        <f t="array" ref="O52">Common_Equations.Common_ConvertN2OToCO2e(Q49,Q50)</f>
        <v>6.8310543085714286E-4</v>
      </c>
      <c r="P52" s="89" t="str" cm="1">
        <f t="array" ref="P52">Common_Equations.Common_ConvertN2OToCO2e_Unit()</f>
        <v>t CO2e</v>
      </c>
    </row>
    <row r="53" spans="1:17" ht="20.100000000000001" customHeight="1" x14ac:dyDescent="0.2">
      <c r="A53" s="5" t="str">
        <f>HYPERLINK("#'Constants - Fertiliser'!A1", "Constants - Fertiliser")</f>
        <v>Constants - Fertiliser</v>
      </c>
    </row>
    <row r="54" spans="1:17" ht="20.100000000000001" customHeight="1" x14ac:dyDescent="0.2">
      <c r="A54" s="5" t="str">
        <f>HYPERLINK("#'Constants - Fuel'!A1", "Constants - Fuel")</f>
        <v>Constants - Fuel</v>
      </c>
    </row>
    <row r="55" spans="1:17" ht="20.100000000000001" customHeight="1" x14ac:dyDescent="0.2">
      <c r="A55" s="5" t="str">
        <f>HYPERLINK("#'Constants - Scope 3'!A1", "Constants - Scope 3")</f>
        <v>Constants - Scope 3</v>
      </c>
    </row>
    <row r="56" spans="1:17" ht="20.100000000000001" customHeight="1" x14ac:dyDescent="0.2">
      <c r="A56" s="5" t="str">
        <f>HYPERLINK("#'Constants - Solid Waste'!A1", "Constants - Solid Waste")</f>
        <v>Constants - Solid Waste</v>
      </c>
    </row>
    <row r="57" spans="1:17"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DD225-572D-4BD8-BFFE-38379DFB9F1D}">
  <sheetPr>
    <tabColor rgb="FF008000"/>
  </sheetPr>
  <dimension ref="A1:R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607</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54"/>
      <c r="P5" s="154"/>
      <c r="Q5" s="154"/>
    </row>
    <row r="6" spans="1:18" ht="20.100000000000001" customHeight="1" x14ac:dyDescent="0.2">
      <c r="D6" s="17" t="str" cm="1">
        <f t="array" ref="D6">Fuel_Equations.VEERG_8_1_1_1__1_FuelCombustionTransport_Source()</f>
        <v>VEERG 2026: 8.1.1.1, Equation (1)</v>
      </c>
      <c r="K6" s="17" t="str" cm="1">
        <f t="array" ref="K6">Scope3_Equations.VEERG_15_11_1_1__2_UpstreamTransportFuelEmissions_Source()</f>
        <v>VEERG 2026: 15.11.1.1, Equation (2)</v>
      </c>
      <c r="O6" s="154"/>
      <c r="P6" s="154"/>
      <c r="Q6" s="154"/>
    </row>
    <row r="7" spans="1:18" ht="20.100000000000001" customHeight="1" x14ac:dyDescent="0.2">
      <c r="D7" s="112" t="s">
        <v>328</v>
      </c>
      <c r="E7" s="112" t="str" cm="1">
        <f t="array" aca="1" ref="E7" ca="1">Common_InputFunctions.Utility_DisplayFunctionName(N25)</f>
        <v>=Fuel_Equations.VEERG_8_1_1_1__1_FuelCombustionTransport</v>
      </c>
      <c r="K7" s="112" t="s">
        <v>328</v>
      </c>
      <c r="L7" s="112" t="str" cm="1">
        <f t="array" aca="1" ref="L7" ca="1">Common_InputFunctions.Utility_DisplayFunctionName(Q25)</f>
        <v>=Scope3_Equations.VEERG_15_11_1_1__2_UpstreamTransportFuelEmissions</v>
      </c>
      <c r="O7" s="154"/>
      <c r="P7" s="154"/>
      <c r="Q7" s="154"/>
    </row>
    <row r="8" spans="1:18" ht="20.100000000000001" customHeight="1" x14ac:dyDescent="0.2">
      <c r="A8" s="7" t="s">
        <v>0</v>
      </c>
      <c r="E8" s="112"/>
      <c r="L8" s="112"/>
      <c r="O8" s="154"/>
      <c r="P8" s="154"/>
      <c r="Q8" s="154"/>
    </row>
    <row r="9" spans="1:18" ht="20.100000000000001" customHeight="1" x14ac:dyDescent="0.2">
      <c r="A9" s="5" t="str">
        <f>HYPERLINK("#'Input - Enterprise'!A1", "Enterprise")</f>
        <v>Enterprise</v>
      </c>
      <c r="G9" s="17"/>
      <c r="O9" s="154"/>
      <c r="P9" s="154"/>
      <c r="Q9" s="154"/>
    </row>
    <row r="10" spans="1:18" ht="20.100000000000001" customHeight="1" x14ac:dyDescent="0.2">
      <c r="A10" s="5" t="str">
        <f>HYPERLINK("#'Input - Site'!A1", "Site")</f>
        <v>Site</v>
      </c>
      <c r="O10" s="154"/>
      <c r="P10" s="154"/>
      <c r="Q10" s="154"/>
    </row>
    <row r="11" spans="1:18" ht="20.100000000000001" customHeight="1" x14ac:dyDescent="0.2">
      <c r="A11" s="5" t="str">
        <f>HYPERLINK("#'Input - Poultry'!A1", "Poultry")</f>
        <v>Poultry</v>
      </c>
      <c r="D11" s="75" t="s">
        <v>329</v>
      </c>
      <c r="E11" s="1" t="str" cm="1">
        <f t="array" ref="E11">Fuel_Equations.VEERG_8_1_1_1__1_FuelCombustionTransport_Variable()</f>
        <v>E_g</v>
      </c>
      <c r="K11" s="75" t="s">
        <v>329</v>
      </c>
      <c r="L11" s="1" t="str" cm="1">
        <f t="array" ref="L11">Scope3_Equations.VEERG_15_11_1_1__2_UpstreamTransportFuelEmissions_Variable()</f>
        <v>E_WTTtransq</v>
      </c>
      <c r="O11" s="154"/>
      <c r="P11" s="154"/>
      <c r="Q11" s="154"/>
    </row>
    <row r="12" spans="1:18" ht="20.100000000000001" customHeight="1" x14ac:dyDescent="0.2">
      <c r="A12" s="5" t="str">
        <f>HYPERLINK("#'Input - Livestock sales'!A1", "Livestock sales")</f>
        <v>Livestock sales</v>
      </c>
      <c r="D12" s="75" t="s">
        <v>118</v>
      </c>
      <c r="E12" s="9" t="str" cm="1">
        <f t="array" ref="E12">Fuel_Equations.VEERG_8_1_1_1__1_FuelCombustionTransport_Unit()</f>
        <v>t CO2-e</v>
      </c>
      <c r="K12" s="75" t="s">
        <v>118</v>
      </c>
      <c r="L12" s="9" t="str" cm="1">
        <f t="array" ref="L12">Scope3_Equations.VEERG_15_11_1_1__2_UpstreamTransportFuelEmissions_Unit()</f>
        <v>t CO2e</v>
      </c>
    </row>
    <row r="13" spans="1:18" ht="20.100000000000001" customHeight="1" x14ac:dyDescent="0.2">
      <c r="A13" s="5" t="str">
        <f>HYPERLINK("#'Input - Poultry purchases'!A1", "Poultry purchases")</f>
        <v>Poultry purchases</v>
      </c>
    </row>
    <row r="14" spans="1:18" ht="20.100000000000001" customHeight="1" x14ac:dyDescent="0.2">
      <c r="A14" s="5" t="str">
        <f>HYPERLINK("#'Input - Fuel'!A1", "Fuel")</f>
        <v>Fuel</v>
      </c>
      <c r="D14" s="113" t="str" cm="1">
        <f t="array" ref="D14:E20">_xlfn.CHOOSECOLS(Fuel_Equations.VEERG_8_1_1_1__1_FuelCombustionTransport_Arguments(), 1,2)</f>
        <v>Q_Transtq</v>
      </c>
      <c r="E14" s="122" t="str">
        <v>Amount of fuel type q combusted for transport energy purposes</v>
      </c>
      <c r="F14" s="123"/>
      <c r="G14" s="113" t="str" cm="1">
        <f t="array" ref="G14:H20">_xlfn.CHOOSECOLS(Fuel_Equations.VEERG_8_1_1_1__1_FuelCombustionTransport_Arguments(), 3,4)</f>
        <v>Varies based on fuel type: kL, m3, GJ</v>
      </c>
      <c r="H14" s="114" t="str">
        <v>Input</v>
      </c>
      <c r="I14" s="116" t="str" cm="1">
        <f t="array" aca="1" ref="I14" ca="1">HYPERLINK(Common_InputFunctions.Utility_SourceHyperlink($D$22), $D$22)</f>
        <v>Table_E_g</v>
      </c>
      <c r="K14" s="113" t="str" cm="1">
        <f t="array" ref="K14:L16">_xlfn.CHOOSECOLS(Scope3_Equations.VEERG_15_11_1_1__2_UpstreamTransportFuelEmissions_Arguments(),1,2)</f>
        <v>Q_Transq</v>
      </c>
      <c r="L14" s="113" t="str">
        <v>amount of fuel q combusted for transport energy purposes</v>
      </c>
      <c r="M14" s="113"/>
      <c r="N14" s="113" t="str" cm="1">
        <f t="array" ref="N14:O16">_xlfn.CHOOSECOLS(Scope3_Equations.VEERG_15_11_1_1__2_UpstreamTransportFuelEmissions_Arguments(),3,4)</f>
        <v>kL</v>
      </c>
      <c r="O14" s="114" t="str">
        <v>Input</v>
      </c>
      <c r="P14" s="116" t="str" cm="1">
        <f t="array" aca="1" ref="P14" ca="1">HYPERLINK(Common_InputFunctions.Utility_SourceHyperlink($D$22), $D$22)</f>
        <v>Table_E_g</v>
      </c>
      <c r="Q14" s="154"/>
    </row>
    <row r="15" spans="1:18" ht="20.100000000000001" customHeight="1" x14ac:dyDescent="0.2">
      <c r="A15" s="5" t="str">
        <f>HYPERLINK("#'Input - Electricity'!A1", "Electricity")</f>
        <v>Electricity</v>
      </c>
      <c r="D15" s="113" t="str">
        <v>EC_Transq</v>
      </c>
      <c r="E15" s="122" t="str">
        <v>Energy content factor for transport energy purposes</v>
      </c>
      <c r="F15" s="123"/>
      <c r="G15" s="113" t="str">
        <v>GJ / unit of fuel</v>
      </c>
      <c r="H15" s="115" t="str">
        <v>Constant</v>
      </c>
      <c r="I15" s="116" t="str" cm="1">
        <f t="array" aca="1" ref="I15" ca="1">HYPERLINK(Common_InputFunctions.Utility_SourceHyperlink($D$22), $D$22)</f>
        <v>Table_E_g</v>
      </c>
      <c r="K15" s="113" t="str">
        <v>EC_Transq</v>
      </c>
      <c r="L15" s="113" t="str">
        <v>energy content factor for transport energy purposes</v>
      </c>
      <c r="M15" s="113"/>
      <c r="N15" s="113" t="str">
        <v>GJ/kL or GJ/m3</v>
      </c>
      <c r="O15" s="115" t="str">
        <v>Constant</v>
      </c>
      <c r="P15" s="116" t="str" cm="1">
        <f t="array" aca="1" ref="P15" ca="1">HYPERLINK(Common_InputFunctions.Utility_SourceHyperlink($D$22), $D$22)</f>
        <v>Table_E_g</v>
      </c>
      <c r="Q15" s="154"/>
    </row>
    <row r="16" spans="1:18" ht="20.100000000000001" customHeight="1" x14ac:dyDescent="0.2">
      <c r="A16" s="5" t="str">
        <f>HYPERLINK("#'Input - Common farm inputs'!A1", "Common farm inputs")</f>
        <v>Common farm inputs</v>
      </c>
      <c r="D16" s="113" t="str">
        <v>EF_Trans1tqg</v>
      </c>
      <c r="E16" s="122" t="str">
        <v>Scope 1 emission factor for transport energy purposes for each greenhouse gas</v>
      </c>
      <c r="F16" s="123"/>
      <c r="G16" s="113" t="str">
        <v>kg CO2e / GJ</v>
      </c>
      <c r="H16" s="115" t="str">
        <v>Constant</v>
      </c>
      <c r="I16" s="116" t="str" cm="1">
        <f t="array" aca="1" ref="I16" ca="1">HYPERLINK(Common_InputFunctions.Utility_SourceHyperlink($D$22), $D$22)</f>
        <v>Table_E_g</v>
      </c>
      <c r="K16" s="113" t="str">
        <v>EF_Trans3q</v>
      </c>
      <c r="L16" s="113" t="str">
        <v>scope 3 emission factor for transport energy purposes</v>
      </c>
      <c r="M16" s="113"/>
      <c r="N16" s="113" t="str">
        <v>kg CO2e/GJ</v>
      </c>
      <c r="O16" s="115" t="str">
        <v>Constant</v>
      </c>
      <c r="P16" s="116" t="str" cm="1">
        <f t="array" aca="1" ref="P16" ca="1">HYPERLINK(Common_InputFunctions.Utility_SourceHyperlink($D$22), $D$22)</f>
        <v>Table_E_g</v>
      </c>
      <c r="Q16" s="154"/>
    </row>
    <row r="17" spans="1:17" ht="20.100000000000001" customHeight="1" x14ac:dyDescent="0.2">
      <c r="A17" s="5" t="str">
        <f>HYPERLINK("#'Input - Livestock farm Inputs'!A1", "Livestock farm Inputs")</f>
        <v>Livestock farm Inputs</v>
      </c>
      <c r="D17" s="113" t="str">
        <v>q</v>
      </c>
      <c r="E17" s="122" t="str">
        <v>Fuel type</v>
      </c>
      <c r="F17" s="123"/>
      <c r="G17" s="113" t="str">
        <v/>
      </c>
      <c r="H17" s="115" t="str">
        <v>Constant</v>
      </c>
      <c r="I17" s="116"/>
      <c r="J17" s="154"/>
      <c r="P17" s="154"/>
      <c r="Q17" s="154"/>
    </row>
    <row r="18" spans="1:17" ht="20.100000000000001" customHeight="1" x14ac:dyDescent="0.2">
      <c r="A18" s="5" t="str">
        <f>HYPERLINK("#'Input - Freight'!A1", "Freight")</f>
        <v>Freight</v>
      </c>
      <c r="D18" s="113" t="str">
        <v>Trans</v>
      </c>
      <c r="E18" s="122" t="str">
        <v>Transport combustion</v>
      </c>
      <c r="F18" s="123"/>
      <c r="G18" s="113" t="str">
        <v/>
      </c>
      <c r="H18" s="115" t="str">
        <v>Constant</v>
      </c>
      <c r="I18" s="116"/>
      <c r="J18" s="154"/>
      <c r="L18" s="154"/>
      <c r="M18" s="154"/>
      <c r="N18" s="154"/>
      <c r="O18" s="154"/>
      <c r="P18" s="154"/>
      <c r="Q18" s="154"/>
    </row>
    <row r="19" spans="1:17" ht="20.100000000000001" customHeight="1" x14ac:dyDescent="0.2">
      <c r="A19" s="5" t="str">
        <f>HYPERLINK("#'Input - Solid waste'!A1", "Solid waste")</f>
        <v>Solid waste</v>
      </c>
      <c r="D19" s="113" t="str">
        <v>g</v>
      </c>
      <c r="E19" s="122" t="str">
        <v>Greenhouse gas</v>
      </c>
      <c r="F19" s="123"/>
      <c r="G19" s="113" t="str">
        <v/>
      </c>
      <c r="H19" s="115" t="str">
        <v>Constant</v>
      </c>
      <c r="I19" s="116"/>
      <c r="J19" s="154"/>
      <c r="L19" s="154"/>
      <c r="M19" s="154"/>
      <c r="N19" s="154"/>
      <c r="O19" s="154"/>
      <c r="P19" s="154"/>
      <c r="Q19" s="154"/>
    </row>
    <row r="20" spans="1:17" ht="20.100000000000001" customHeight="1" x14ac:dyDescent="0.2">
      <c r="A20" s="5" t="str">
        <f>HYPERLINK("#'Input - Manure sent off-site'!A1", "Manure sent off-site")</f>
        <v>Manure sent off-site</v>
      </c>
      <c r="D20" s="113" t="str">
        <v>1</v>
      </c>
      <c r="E20" s="122" t="str">
        <v>Scope 1</v>
      </c>
      <c r="F20" s="123"/>
      <c r="G20" s="113" t="str">
        <v/>
      </c>
      <c r="H20" s="115" t="str">
        <v>Constant</v>
      </c>
      <c r="I20" s="116"/>
      <c r="J20" s="154"/>
      <c r="L20" s="154"/>
      <c r="M20" s="154"/>
      <c r="N20" s="154"/>
      <c r="O20" s="154"/>
      <c r="P20" s="154"/>
      <c r="Q20" s="154"/>
    </row>
    <row r="21" spans="1:17" ht="20.100000000000001" customHeight="1" x14ac:dyDescent="0.2">
      <c r="A21" s="5" t="str">
        <f>HYPERLINK("#'Input - Data quality'!A1", "Data quality")</f>
        <v>Data quality</v>
      </c>
      <c r="O21" s="154"/>
      <c r="P21" s="154"/>
      <c r="Q21" s="154"/>
    </row>
    <row r="22" spans="1:17" ht="20.100000000000001" customHeight="1" x14ac:dyDescent="0.2">
      <c r="A22" s="5" t="str">
        <f>HYPERLINK("#'Input - Fert Prod System'!A1", "Fert Prod System")</f>
        <v>Fert Prod System</v>
      </c>
      <c r="D22" s="118" t="s">
        <v>608</v>
      </c>
    </row>
    <row r="23" spans="1:17" ht="20.100000000000001" customHeight="1" x14ac:dyDescent="0.2">
      <c r="A23" s="5" t="str">
        <f>HYPERLINK("#'Input - Fertiliser'!A1", "Fertiliser")</f>
        <v>Fertiliser</v>
      </c>
      <c r="D23" s="119" t="s">
        <v>609</v>
      </c>
    </row>
    <row r="24" spans="1:17" ht="20.100000000000001" customHeight="1" x14ac:dyDescent="0.2">
      <c r="D24" s="120" t="s">
        <v>610</v>
      </c>
      <c r="E24" s="120" t="s">
        <v>611</v>
      </c>
      <c r="F24" s="120" t="s">
        <v>612</v>
      </c>
      <c r="G24" s="120" t="s">
        <v>613</v>
      </c>
      <c r="H24" s="120" t="s">
        <v>614</v>
      </c>
      <c r="I24" s="120" t="s">
        <v>615</v>
      </c>
      <c r="J24" s="120" t="s">
        <v>616</v>
      </c>
      <c r="K24" s="120" t="s">
        <v>617</v>
      </c>
      <c r="L24" s="78" t="s">
        <v>618</v>
      </c>
      <c r="M24" s="120" t="s">
        <v>619</v>
      </c>
      <c r="N24" s="120" t="s">
        <v>620</v>
      </c>
      <c r="O24" s="120" t="s">
        <v>621</v>
      </c>
      <c r="P24" s="120" t="s">
        <v>622</v>
      </c>
      <c r="Q24" s="120" t="s">
        <v>623</v>
      </c>
    </row>
    <row r="25" spans="1:17" ht="20.100000000000001" customHeight="1" x14ac:dyDescent="0.2">
      <c r="D25" s="24" t="str">
        <f>Table_FuelTypesPerUse[[#Headers],[Cars and light commercial vehicles]]</f>
        <v>Cars and light commercial vehicles</v>
      </c>
      <c r="E25" s="155" t="str">
        <f>'Constants - Fuel'!$E$10</f>
        <v>Gasoline</v>
      </c>
      <c r="F25" s="155"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56" cm="1">
        <f t="array" ref="L25">Fuel_InputFunctions.Fuel_TotalConsumption(Table_Input_Fuel[Amount consumed], Table_Input_Fuel[Fuel use (select)], D25, Table_Input_Fuel[Fuel type (select)],F25)</f>
        <v>0</v>
      </c>
      <c r="M25" s="156" t="str" cm="1">
        <f t="array" ref="M25">Common_InputFunctions.Utility_LookupValueInTable(F25,Table_FuelTypes_Units[Fuel type],Table_FuelTypes_Units[Unit])</f>
        <v>kL</v>
      </c>
      <c r="N25" s="157" cm="1">
        <f t="array" ref="N25">Fuel_Equations.VEERG_8_1_1_1__1_FuelCombustionTransport($L25,$G25,$H25)</f>
        <v>0</v>
      </c>
      <c r="O25" s="157" cm="1">
        <f t="array" ref="O25">Fuel_Equations.VEERG_8_1_1_1__1_FuelCombustionTransport($L25,$G25,$I25)</f>
        <v>0</v>
      </c>
      <c r="P25" s="157" cm="1">
        <f t="array" ref="P25">Fuel_Equations.VEERG_8_1_1_1__1_FuelCombustionTransport($L25,$G25,$J25)</f>
        <v>0</v>
      </c>
      <c r="Q25" s="157" cm="1">
        <f t="array" ref="Q25">Scope3_Equations.VEERG_15_11_1_1__2_UpstreamTransportFuelEmissions(L25,G25,K25)</f>
        <v>0</v>
      </c>
    </row>
    <row r="26" spans="1:17" ht="20.100000000000001" customHeight="1" x14ac:dyDescent="0.2">
      <c r="A26" s="6" t="s">
        <v>2</v>
      </c>
      <c r="D26" s="158" t="str">
        <f t="shared" ref="D26:D32" si="0">$D$25</f>
        <v>Cars and light commercial vehicles</v>
      </c>
      <c r="E26" s="155" t="str">
        <f>'Constants - Fuel'!$E$11</f>
        <v>Diesel oil</v>
      </c>
      <c r="F26" s="155"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56" cm="1">
        <f t="array" ref="L26">Fuel_InputFunctions.Fuel_TotalConsumption(Table_Input_Fuel[Amount consumed], Table_Input_Fuel[Fuel use (select)], D26, Table_Input_Fuel[Fuel type (select)],F26)</f>
        <v>10</v>
      </c>
      <c r="M26" s="156" t="str" cm="1">
        <f t="array" ref="M26">Common_InputFunctions.Utility_LookupValueInTable(F26,Table_FuelTypes_Units[Fuel type],Table_FuelTypes_Units[Unit])</f>
        <v>kL</v>
      </c>
      <c r="N26" s="157" cm="1">
        <f t="array" ref="N26">Fuel_Equations.VEERG_8_1_1_1__1_FuelCombustionTransport($L26,$G26,$H26)</f>
        <v>26.981400000000001</v>
      </c>
      <c r="O26" s="157" cm="1">
        <f t="array" ref="O26">Fuel_Equations.VEERG_8_1_1_1__1_FuelCombustionTransport($L26,$G26,$I26)</f>
        <v>3.8600000000000001E-3</v>
      </c>
      <c r="P26" s="157" cm="1">
        <f t="array" ref="P26">Fuel_Equations.VEERG_8_1_1_1__1_FuelCombustionTransport($L26,$G26,$J26)</f>
        <v>0.193</v>
      </c>
      <c r="Q26" s="157" cm="1">
        <f t="array" ref="Q26">Scope3_Equations.VEERG_15_11_1_1__2_UpstreamTransportFuelEmissions(L26,G26,K26)</f>
        <v>6.6778000000000004</v>
      </c>
    </row>
    <row r="27" spans="1:17" ht="20.100000000000001" customHeight="1" x14ac:dyDescent="0.2">
      <c r="A27" s="5" t="str">
        <f>HYPERLINK("#'4.6.1.1-2 Methane'!A1", "4.6.1.1-2 Manure Methane")</f>
        <v>4.6.1.1-2 Manure Methane</v>
      </c>
      <c r="D27" s="158" t="str">
        <f t="shared" si="0"/>
        <v>Cars and light commercial vehicles</v>
      </c>
      <c r="E27" s="155" t="str">
        <f>'Constants - Fuel'!$E$12</f>
        <v>Liquefied petroleum gas (LPG)</v>
      </c>
      <c r="F27" s="155"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56" cm="1">
        <f t="array" ref="L27">Fuel_InputFunctions.Fuel_TotalConsumption(Table_Input_Fuel[Amount consumed], Table_Input_Fuel[Fuel use (select)], D27, Table_Input_Fuel[Fuel type (select)],F27)</f>
        <v>0</v>
      </c>
      <c r="M27" s="156" t="str" cm="1">
        <f t="array" ref="M27">Common_InputFunctions.Utility_LookupValueInTable(F27,Table_FuelTypes_Units[Fuel type],Table_FuelTypes_Units[Unit])</f>
        <v>kL</v>
      </c>
      <c r="N27" s="157" cm="1">
        <f t="array" ref="N27">Fuel_Equations.VEERG_8_1_1_1__1_FuelCombustionTransport($L27,$G27,$H27)</f>
        <v>0</v>
      </c>
      <c r="O27" s="157" cm="1">
        <f t="array" ref="O27">Fuel_Equations.VEERG_8_1_1_1__1_FuelCombustionTransport($L27,$G27,$I27)</f>
        <v>0</v>
      </c>
      <c r="P27" s="157" cm="1">
        <f t="array" ref="P27">Fuel_Equations.VEERG_8_1_1_1__1_FuelCombustionTransport($L27,$G27,$J27)</f>
        <v>0</v>
      </c>
      <c r="Q27" s="157" cm="1">
        <f t="array" ref="Q27">Scope3_Equations.VEERG_15_11_1_1__2_UpstreamTransportFuelEmissions(L27,G27,K27)</f>
        <v>0</v>
      </c>
    </row>
    <row r="28" spans="1:17" ht="20.100000000000001" customHeight="1" x14ac:dyDescent="0.2">
      <c r="A28" s="5" t="str">
        <f>HYPERLINK("#'4.6.1.3-4 Direct N20'!A1", "4.6.1.3-4 Manure Direct N2O")</f>
        <v>4.6.1.3-4 Manure Direct N2O</v>
      </c>
      <c r="D28" s="158" t="str">
        <f t="shared" si="0"/>
        <v>Cars and light commercial vehicles</v>
      </c>
      <c r="E28" s="155" t="str">
        <f>'Constants - Fuel'!$E$13</f>
        <v>Fuel oil</v>
      </c>
      <c r="F28" s="155"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56" cm="1">
        <f t="array" ref="L28">Fuel_InputFunctions.Fuel_TotalConsumption(Table_Input_Fuel[Amount consumed], Table_Input_Fuel[Fuel use (select)], D28, Table_Input_Fuel[Fuel type (select)],F28)</f>
        <v>0</v>
      </c>
      <c r="M28" s="156" t="str" cm="1">
        <f t="array" ref="M28">Common_InputFunctions.Utility_LookupValueInTable(F28,Table_FuelTypes_Units[Fuel type],Table_FuelTypes_Units[Unit])</f>
        <v>kL</v>
      </c>
      <c r="N28" s="157" cm="1">
        <f t="array" ref="N28">Fuel_Equations.VEERG_8_1_1_1__1_FuelCombustionTransport($L28,$G28,$H28)</f>
        <v>0</v>
      </c>
      <c r="O28" s="157" cm="1">
        <f t="array" ref="O28">Fuel_Equations.VEERG_8_1_1_1__1_FuelCombustionTransport($L28,$G28,$I28)</f>
        <v>0</v>
      </c>
      <c r="P28" s="157" cm="1">
        <f t="array" ref="P28">Fuel_Equations.VEERG_8_1_1_1__1_FuelCombustionTransport($L28,$G28,$J28)</f>
        <v>0</v>
      </c>
      <c r="Q28" s="157" cm="1">
        <f t="array" ref="Q28">Scope3_Equations.VEERG_15_11_1_1__2_UpstreamTransportFuelEmissions(L28,G28,K28)</f>
        <v>0</v>
      </c>
    </row>
    <row r="29" spans="1:17" ht="20.100000000000001" customHeight="1" x14ac:dyDescent="0.2">
      <c r="A29" s="5" t="str">
        <f>HYPERLINK("#'4.6.1.5-6 Atmos Dep'!A1", "4.6.1.5-6 Manure Atmos Dep")</f>
        <v>4.6.1.5-6 Manure Atmos Dep</v>
      </c>
      <c r="D29" s="158" t="str">
        <f t="shared" si="0"/>
        <v>Cars and light commercial vehicles</v>
      </c>
      <c r="E29" s="155" t="str">
        <f>'Constants - Fuel'!$E$14</f>
        <v>Ethanol</v>
      </c>
      <c r="F29" s="155"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56" cm="1">
        <f t="array" ref="L29">Fuel_InputFunctions.Fuel_TotalConsumption(Table_Input_Fuel[Amount consumed], Table_Input_Fuel[Fuel use (select)], D29, Table_Input_Fuel[Fuel type (select)],F29)</f>
        <v>0</v>
      </c>
      <c r="M29" s="156" t="str" cm="1">
        <f t="array" ref="M29">Common_InputFunctions.Utility_LookupValueInTable(F29,Table_FuelTypes_Units[Fuel type],Table_FuelTypes_Units[Unit])</f>
        <v>kL</v>
      </c>
      <c r="N29" s="157" cm="1">
        <f t="array" ref="N29">Fuel_Equations.VEERG_8_1_1_1__1_FuelCombustionTransport($L29,$G29,$H29)</f>
        <v>0</v>
      </c>
      <c r="O29" s="157" cm="1">
        <f t="array" ref="O29">Fuel_Equations.VEERG_8_1_1_1__1_FuelCombustionTransport($L29,$G29,$I29)</f>
        <v>0</v>
      </c>
      <c r="P29" s="157" cm="1">
        <f t="array" ref="P29">Fuel_Equations.VEERG_8_1_1_1__1_FuelCombustionTransport($L29,$G29,$J29)</f>
        <v>0</v>
      </c>
      <c r="Q29" s="157" cm="1">
        <f t="array" ref="Q29">Scope3_Equations.VEERG_15_11_1_1__2_UpstreamTransportFuelEmissions(L29,G29,IF(ISNUMBER(K29),K29,0))</f>
        <v>0</v>
      </c>
    </row>
    <row r="30" spans="1:17" ht="20.100000000000001" customHeight="1" x14ac:dyDescent="0.2">
      <c r="A30" s="5" t="str">
        <f>HYPERLINK("#'4.6.1.7-8 Leaching and runoff'!A1", "4.6.1.7-8 Manure Leaching and runoff")</f>
        <v>4.6.1.7-8 Manure Leaching and runoff</v>
      </c>
      <c r="D30" s="158" t="str">
        <f t="shared" si="0"/>
        <v>Cars and light commercial vehicles</v>
      </c>
      <c r="E30" s="155" t="str">
        <f>'Constants - Fuel'!$E$15</f>
        <v>Biodiesel</v>
      </c>
      <c r="F30" s="155"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56" cm="1">
        <f t="array" ref="L30">Fuel_InputFunctions.Fuel_TotalConsumption(Table_Input_Fuel[Amount consumed], Table_Input_Fuel[Fuel use (select)], D30, Table_Input_Fuel[Fuel type (select)],F30)</f>
        <v>0</v>
      </c>
      <c r="M30" s="156" t="str" cm="1">
        <f t="array" ref="M30">Common_InputFunctions.Utility_LookupValueInTable(F30,Table_FuelTypes_Units[Fuel type],Table_FuelTypes_Units[Unit])</f>
        <v>kL</v>
      </c>
      <c r="N30" s="157" cm="1">
        <f t="array" ref="N30">Fuel_Equations.VEERG_8_1_1_1__1_FuelCombustionTransport($L30,$G30,$H30)</f>
        <v>0</v>
      </c>
      <c r="O30" s="157" cm="1">
        <f t="array" ref="O30">Fuel_Equations.VEERG_8_1_1_1__1_FuelCombustionTransport($L30,$G30,$I30)</f>
        <v>0</v>
      </c>
      <c r="P30" s="157" cm="1">
        <f t="array" ref="P30">Fuel_Equations.VEERG_8_1_1_1__1_FuelCombustionTransport($L30,$G30,$J30)</f>
        <v>0</v>
      </c>
      <c r="Q30" s="157" cm="1">
        <f t="array" ref="Q30">Scope3_Equations.VEERG_15_11_1_1__2_UpstreamTransportFuelEmissions(L30,G30,IF(ISNUMBER(K30),K30,0))</f>
        <v>0</v>
      </c>
    </row>
    <row r="31" spans="1:17" ht="20.100000000000001" customHeight="1" x14ac:dyDescent="0.2">
      <c r="A31" s="5" t="str">
        <f>HYPERLINK("#'4.6.1.9 Manure applied to soils'!A1", "4.6.1.9 Manure applied to soils")</f>
        <v>4.6.1.9 Manure applied to soils</v>
      </c>
      <c r="D31" s="158" t="str">
        <f t="shared" si="0"/>
        <v>Cars and light commercial vehicles</v>
      </c>
      <c r="E31" s="155" t="str">
        <f>'Constants - Fuel'!$E$16</f>
        <v>Renewable diesel</v>
      </c>
      <c r="F31" s="155"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56" cm="1">
        <f t="array" ref="L31">Fuel_InputFunctions.Fuel_TotalConsumption(Table_Input_Fuel[Amount consumed], Table_Input_Fuel[Fuel use (select)], D31, Table_Input_Fuel[Fuel type (select)],F31)</f>
        <v>0</v>
      </c>
      <c r="M31" s="156" t="str" cm="1">
        <f t="array" ref="M31">Common_InputFunctions.Utility_LookupValueInTable(F31,Table_FuelTypes_Units[Fuel type],Table_FuelTypes_Units[Unit])</f>
        <v>kL</v>
      </c>
      <c r="N31" s="157" cm="1">
        <f t="array" ref="N31">Fuel_Equations.VEERG_8_1_1_1__1_FuelCombustionTransport($L31,$G31,$H31)</f>
        <v>0</v>
      </c>
      <c r="O31" s="157" cm="1">
        <f t="array" ref="O31">Fuel_Equations.VEERG_8_1_1_1__1_FuelCombustionTransport($L31,$G31,$I31)</f>
        <v>0</v>
      </c>
      <c r="P31" s="157" cm="1">
        <f t="array" ref="P31">Fuel_Equations.VEERG_8_1_1_1__1_FuelCombustionTransport($L31,$G31,$J31)</f>
        <v>0</v>
      </c>
      <c r="Q31" s="157" cm="1">
        <f t="array" ref="Q31">Scope3_Equations.VEERG_15_11_1_1__2_UpstreamTransportFuelEmissions(L31,G31,IF(ISNUMBER(K31),K31,0))</f>
        <v>0</v>
      </c>
    </row>
    <row r="32" spans="1:17" ht="20.100000000000001" customHeight="1" x14ac:dyDescent="0.2">
      <c r="A32" s="5" t="str">
        <f>HYPERLINK("#'4.6.1.10-11 Soil direct N2O'!A1", "4.6.1.10-11 Soil direct N2O")</f>
        <v>4.6.1.10-11 Soil direct N2O</v>
      </c>
      <c r="D32" s="158" t="str">
        <f t="shared" si="0"/>
        <v>Cars and light commercial vehicles</v>
      </c>
      <c r="E32" s="155" t="str">
        <f>'Constants - Fuel'!$E$17</f>
        <v>Other biofuels</v>
      </c>
      <c r="F32" s="155"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52" t="str" cm="1">
        <f t="array" ref="K32">IFERROR(_xlfn.XLOOKUP(1, (Table_Fuel_EFs_Transport[Fuel combusted]=$E32)*(Table_Fuel_EFs_Transport[Transport type]=$D$25), Table_Fuel_EFs_Transport[Scope 3 Emission Factor (kg CO2 - e / GJ)]), 0)</f>
        <v>NE</v>
      </c>
      <c r="L32" s="159" cm="1">
        <f t="array" ref="L32">Fuel_InputFunctions.Fuel_TotalConsumption(Table_Input_Fuel[Amount consumed], Table_Input_Fuel[Fuel use (select)], D32, Table_Input_Fuel[Fuel type (select)],F32)</f>
        <v>0</v>
      </c>
      <c r="M32" s="156" t="str" cm="1">
        <f t="array" ref="M32">Common_InputFunctions.Utility_LookupValueInTable(F32,Table_FuelTypes_Units[Fuel type],Table_FuelTypes_Units[Unit])</f>
        <v>kL</v>
      </c>
      <c r="N32" s="160" cm="1">
        <f t="array" ref="N32">Fuel_Equations.VEERG_8_1_1_1__1_FuelCombustionTransport($L32,$G32,$H32)</f>
        <v>0</v>
      </c>
      <c r="O32" s="160" cm="1">
        <f t="array" ref="O32">Fuel_Equations.VEERG_8_1_1_1__1_FuelCombustionTransport($L32,$G32,$I32)</f>
        <v>0</v>
      </c>
      <c r="P32" s="160" cm="1">
        <f t="array" ref="P32">Fuel_Equations.VEERG_8_1_1_1__1_FuelCombustionTransport($L32,$G32,$J32)</f>
        <v>0</v>
      </c>
      <c r="Q32" s="157" cm="1">
        <f t="array" ref="Q32">Scope3_Equations.VEERG_15_11_1_1__2_UpstreamTransportFuelEmissions(L32,G32,IF(ISNUMBER(K32),K32,0))</f>
        <v>0</v>
      </c>
    </row>
    <row r="33" spans="1:17" ht="20.100000000000001" customHeight="1" x14ac:dyDescent="0.2">
      <c r="A33" s="5" t="str">
        <f>HYPERLINK("#'4.6.1.12-13 Soil atmos dep'!A1", "4.6.1.12-13 Soil atmos dep")</f>
        <v>4.6.1.12-13 Soil atmos dep</v>
      </c>
      <c r="D33" s="161" t="str">
        <f>Table_FuelTypesPerUse[[#Headers],[Off-road Agriculture and forestry equipment]]</f>
        <v>Off-road Agriculture and forestry equipment</v>
      </c>
      <c r="E33" s="162" t="str">
        <f>'Constants - Fuel'!$E$11</f>
        <v>Diesel oil</v>
      </c>
      <c r="F33" s="162" t="str">
        <f>'Constants - Fuel'!H131</f>
        <v>Diesel</v>
      </c>
      <c r="G33" s="163" cm="1">
        <f t="array" ref="G33">IFERROR(_xlfn.XLOOKUP(1, (Table_Fuel_EFs_Transport[Fuel combusted]=$E33)*(Table_Fuel_EFs_Transport[Transport type]=$D$33), Table_Fuel_EFs_Transport[Energy Content Factor (GJ per unit of fuel)]), 0)</f>
        <v>38.6</v>
      </c>
      <c r="H33" s="163" cm="1">
        <f t="array" ref="H33">IFERROR(_xlfn.XLOOKUP(1, (Table_Fuel_EFs_Transport[Fuel combusted]=$E33)*(Table_Fuel_EFs_Transport[Transport type]=$D$33), Table_Fuel_EFs_Transport[Scope 1 Emission Factor (kg CO2 - e / GJ) CO2]), 0)</f>
        <v>69.900000000000006</v>
      </c>
      <c r="I33" s="163" cm="1">
        <f t="array" ref="I33">IFERROR(_xlfn.XLOOKUP(1, (Table_Fuel_EFs_Transport[Fuel combusted]=$E33)*(Table_Fuel_EFs_Transport[Transport type]=$D$33), Table_Fuel_EFs_Transport[Scope 1 Emission Factor (kg CO2 - e / GJ) CH4]), 0)</f>
        <v>0.3</v>
      </c>
      <c r="J33" s="163" cm="1">
        <f t="array" ref="J33">IFERROR(_xlfn.XLOOKUP(1, (Table_Fuel_EFs_Transport[Fuel combusted]=$E33)*(Table_Fuel_EFs_Transport[Transport type]=$D$33), Table_Fuel_EFs_Transport[Scope 1 Emission Factor (kg CO2 - e / GJ) N2O]), 0)</f>
        <v>0.5</v>
      </c>
      <c r="K33" s="164" cm="1">
        <f t="array" ref="K33">IFERROR(_xlfn.XLOOKUP(1, (Table_Fuel_EFs_Transport[Fuel combusted]=$E33)*(Table_Fuel_EFs_Transport[Transport type]=$D$25), Table_Fuel_EFs_Transport[Scope 3 Emission Factor (kg CO2 - e / GJ)]), 0)</f>
        <v>17.3</v>
      </c>
      <c r="L33" s="165" cm="1">
        <f t="array" ref="L33">Fuel_InputFunctions.Fuel_TotalConsumption(Table_Input_Fuel[Amount consumed], Table_Input_Fuel[Fuel use (select)], D33, Table_Input_Fuel[Fuel type (select)],F33)</f>
        <v>10</v>
      </c>
      <c r="M33" s="166" t="str" cm="1">
        <f t="array" ref="M33">Common_InputFunctions.Utility_LookupValueInTable(F33,Table_FuelTypes_Units[Fuel type],Table_FuelTypes_Units[Unit])</f>
        <v>kL</v>
      </c>
      <c r="N33" s="167" cm="1">
        <f t="array" ref="N33">Fuel_Equations.VEERG_8_1_1_1__1_FuelCombustionTransport($L33,$G33,$H33)</f>
        <v>26.981400000000001</v>
      </c>
      <c r="O33" s="167" cm="1">
        <f t="array" ref="O33">Fuel_Equations.VEERG_8_1_1_1__1_FuelCombustionTransport($L33,$G33,$I33)</f>
        <v>0.1158</v>
      </c>
      <c r="P33" s="167" cm="1">
        <f t="array" ref="P33">Fuel_Equations.VEERG_8_1_1_1__1_FuelCombustionTransport($L33,$G33,$J33)</f>
        <v>0.193</v>
      </c>
      <c r="Q33" s="168" cm="1">
        <f t="array" ref="Q33">Scope3_Equations.VEERG_15_11_1_1__2_UpstreamTransportFuelEmissions(L33,G33,K33)</f>
        <v>6.6778000000000004</v>
      </c>
    </row>
    <row r="34" spans="1:17" ht="20.100000000000001" customHeight="1" x14ac:dyDescent="0.2">
      <c r="A34" s="5" t="str">
        <f>HYPERLINK("#'4.6.1.14-15 Soil leach runoff'!A1", "4.6.1.14-15 Soil leach runoff")</f>
        <v>4.6.1.14-15 Soil leach runoff</v>
      </c>
      <c r="D34" s="161" t="str">
        <f>Table_FuelTypesPerUse[[#Headers],[Aviation]]</f>
        <v>Aviation</v>
      </c>
      <c r="E34" s="162" t="str">
        <f>'Constants - Fuel'!$E$28</f>
        <v>Gasoline for use as fuel in an aircraft</v>
      </c>
      <c r="F34" s="162" t="str">
        <f>'Constants - Fuel'!$F$131</f>
        <v>Avgas</v>
      </c>
      <c r="G34" s="169" cm="1">
        <f t="array" ref="G34">IFERROR(_xlfn.XLOOKUP(1, (Table_Fuel_EFs_Transport[Fuel combusted]=$E34)*(Table_Fuel_EFs_Transport[Transport type]=$D$34), Table_Fuel_EFs_Transport[Energy Content Factor (GJ per unit of fuel)]), 0)</f>
        <v>33.1</v>
      </c>
      <c r="H34" s="169" cm="1">
        <f t="array" ref="H34">IFERROR(_xlfn.XLOOKUP(1, (Table_Fuel_EFs_Transport[Fuel combusted]=$E34)*(Table_Fuel_EFs_Transport[Transport type]=$D$34), Table_Fuel_EFs_Transport[Scope 1 Emission Factor (kg CO2 - e / GJ) CO2]), 0)</f>
        <v>67</v>
      </c>
      <c r="I34" s="169" cm="1">
        <f t="array" ref="I34">IFERROR(_xlfn.XLOOKUP(1, (Table_Fuel_EFs_Transport[Fuel combusted]=$E34)*(Table_Fuel_EFs_Transport[Transport type]=$D$34), Table_Fuel_EFs_Transport[Scope 1 Emission Factor (kg CO2 - e / GJ) CH4]), 0)</f>
        <v>0.06</v>
      </c>
      <c r="J34" s="169" cm="1">
        <f t="array" ref="J34">IFERROR(_xlfn.XLOOKUP(1, (Table_Fuel_EFs_Transport[Fuel combusted]=$E34)*(Table_Fuel_EFs_Transport[Transport type]=$D$34), Table_Fuel_EFs_Transport[Scope 1 Emission Factor (kg CO2 - e / GJ) N2O]), 0)</f>
        <v>0.6</v>
      </c>
      <c r="K34" s="169" cm="1">
        <f t="array" ref="K34">IFERROR(_xlfn.XLOOKUP(1, (Table_Fuel_EFs_Transport[Fuel combusted]=$E34)*(Table_Fuel_EFs_Transport[Transport type]=$D$25), Table_Fuel_EFs_Transport[Scope 3 Emission Factor (kg CO2 - e / GJ)]), 0)</f>
        <v>0</v>
      </c>
      <c r="L34" s="166" cm="1">
        <f t="array" ref="L34">Fuel_InputFunctions.Fuel_TotalConsumption(Table_Input_Fuel[Amount consumed], Table_Input_Fuel[Fuel use (select)], D34, Table_Input_Fuel[Fuel type (select)],F34)</f>
        <v>0</v>
      </c>
      <c r="M34" s="166" t="str" cm="1">
        <f t="array" ref="M34">Common_InputFunctions.Utility_LookupValueInTable(F34,Table_FuelTypes_Units[Fuel type],Table_FuelTypes_Units[Unit])</f>
        <v>kL</v>
      </c>
      <c r="N34" s="167" cm="1">
        <f t="array" ref="N34">Fuel_Equations.VEERG_8_1_1_1__1_FuelCombustionTransport($L34,$G34,$H34)</f>
        <v>0</v>
      </c>
      <c r="O34" s="167" cm="1">
        <f t="array" ref="O34">Fuel_Equations.VEERG_8_1_1_1__1_FuelCombustionTransport($L34,$G34,$I34)</f>
        <v>0</v>
      </c>
      <c r="P34" s="167" cm="1">
        <f t="array" ref="P34">Fuel_Equations.VEERG_8_1_1_1__1_FuelCombustionTransport($L34,$G34,$J34)</f>
        <v>0</v>
      </c>
      <c r="Q34" s="167" cm="1">
        <f t="array" ref="Q34">Scope3_Equations.VEERG_15_11_1_1__2_UpstreamTransportFuelEmissions(L34,G34,K34)</f>
        <v>0</v>
      </c>
    </row>
    <row r="35" spans="1:17" ht="20.100000000000001" customHeight="1" x14ac:dyDescent="0.2">
      <c r="A35" s="117" t="str">
        <f>HYPERLINK("#'8.1.1.1-2 Transport fuel'!A1", "8.1.1.1-2 Transport fuel")</f>
        <v>8.1.1.1-2 Transport fuel</v>
      </c>
      <c r="D35" s="158" t="str">
        <f>$D$34</f>
        <v>Aviation</v>
      </c>
      <c r="E35" s="155" t="str">
        <f>'Constants - Fuel'!$E$29</f>
        <v>Kerosene for use as fuel in an aircraft</v>
      </c>
      <c r="F35" s="155"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56" cm="1">
        <f t="array" ref="L35">Fuel_InputFunctions.Fuel_TotalConsumption(Table_Input_Fuel[Amount consumed], Table_Input_Fuel[Fuel use (select)], D35, Table_Input_Fuel[Fuel type (select)],F35)</f>
        <v>0</v>
      </c>
      <c r="M35" s="156" t="str" cm="1">
        <f t="array" ref="M35">Common_InputFunctions.Utility_LookupValueInTable(F35,Table_FuelTypes_Units[Fuel type],Table_FuelTypes_Units[Unit])</f>
        <v>kL</v>
      </c>
      <c r="N35" s="157" cm="1">
        <f t="array" ref="N35">Fuel_Equations.VEERG_8_1_1_1__1_FuelCombustionTransport($L35,$G35,$H35)</f>
        <v>0</v>
      </c>
      <c r="O35" s="157" cm="1">
        <f t="array" ref="O35">Fuel_Equations.VEERG_8_1_1_1__1_FuelCombustionTransport($L35,$G35,$I35)</f>
        <v>0</v>
      </c>
      <c r="P35" s="157" cm="1">
        <f t="array" ref="P35">Fuel_Equations.VEERG_8_1_1_1__1_FuelCombustionTransport($L35,$G35,$J35)</f>
        <v>0</v>
      </c>
      <c r="Q35" s="157" cm="1">
        <f t="array" ref="Q35">Scope3_Equations.VEERG_15_11_1_1__2_UpstreamTransportFuelEmissions(L35,G35,K35)</f>
        <v>0</v>
      </c>
    </row>
    <row r="36" spans="1:17" ht="20.100000000000001" customHeight="1" x14ac:dyDescent="0.2">
      <c r="A36" s="5" t="str">
        <f>HYPERLINK("#'8.2.1.1-2 Stationary fuel'!A1", "8.2.1.1-2 Stationary fuel")</f>
        <v>8.2.1.1-2 Stationary fuel</v>
      </c>
      <c r="D36" s="158" t="str">
        <f>$D$34</f>
        <v>Aviation</v>
      </c>
      <c r="E36" s="155" t="str">
        <f>'Constants - Fuel'!$E$30</f>
        <v>Renewable aviation kerosene</v>
      </c>
      <c r="F36" s="155" t="str">
        <f>'Constants - Fuel'!$F$133</f>
        <v>Renewable aviation kerosene</v>
      </c>
      <c r="G36" s="152" cm="1">
        <f t="array" ref="G36">IFERROR(_xlfn.XLOOKUP(1, (Table_Fuel_EFs_Transport[Fuel combusted]=$E36)*(Table_Fuel_EFs_Transport[Transport type]=$D$34), Table_Fuel_EFs_Transport[Energy Content Factor (GJ per unit of fuel)]), 0)</f>
        <v>36.799999999999997</v>
      </c>
      <c r="H36" s="152" cm="1">
        <f t="array" ref="H36">IFERROR(_xlfn.XLOOKUP(1, (Table_Fuel_EFs_Transport[Fuel combusted]=$E36)*(Table_Fuel_EFs_Transport[Transport type]=$D$34), Table_Fuel_EFs_Transport[Scope 1 Emission Factor (kg CO2 - e / GJ) CO2]), 0)</f>
        <v>0</v>
      </c>
      <c r="I36" s="152" cm="1">
        <f t="array" ref="I36">IFERROR(_xlfn.XLOOKUP(1, (Table_Fuel_EFs_Transport[Fuel combusted]=$E36)*(Table_Fuel_EFs_Transport[Transport type]=$D$34), Table_Fuel_EFs_Transport[Scope 1 Emission Factor (kg CO2 - e / GJ) CH4]), 0)</f>
        <v>0.01</v>
      </c>
      <c r="J36" s="152" cm="1">
        <f t="array" ref="J36">IFERROR(_xlfn.XLOOKUP(1, (Table_Fuel_EFs_Transport[Fuel combusted]=$E36)*(Table_Fuel_EFs_Transport[Transport type]=$D$34), Table_Fuel_EFs_Transport[Scope 1 Emission Factor (kg CO2 - e / GJ) N2O]), 0)</f>
        <v>0.6</v>
      </c>
      <c r="K36" s="152" cm="1">
        <f t="array" ref="K36">IFERROR(_xlfn.XLOOKUP(1, (Table_Fuel_EFs_Transport[Fuel combusted]=$E36)*(Table_Fuel_EFs_Transport[Transport type]=$D$25), Table_Fuel_EFs_Transport[Scope 3 Emission Factor (kg CO2 - e / GJ)]), 0)</f>
        <v>0</v>
      </c>
      <c r="L36" s="159" cm="1">
        <f t="array" ref="L36">Fuel_InputFunctions.Fuel_TotalConsumption(Table_Input_Fuel[Amount consumed], Table_Input_Fuel[Fuel use (select)], D36, Table_Input_Fuel[Fuel type (select)],F36)</f>
        <v>0</v>
      </c>
      <c r="M36" s="156" t="str" cm="1">
        <f t="array" ref="M36">Common_InputFunctions.Utility_LookupValueInTable(F36,Table_FuelTypes_Units[Fuel type],Table_FuelTypes_Units[Unit])</f>
        <v>kL</v>
      </c>
      <c r="N36" s="157" cm="1">
        <f t="array" ref="N36">Fuel_Equations.VEERG_8_1_1_1__1_FuelCombustionTransport($L36,$G36,$H36)</f>
        <v>0</v>
      </c>
      <c r="O36" s="157" cm="1">
        <f t="array" ref="O36">Fuel_Equations.VEERG_8_1_1_1__1_FuelCombustionTransport($L36,$G36,$I36)</f>
        <v>0</v>
      </c>
      <c r="P36" s="157" cm="1">
        <f t="array" ref="P36">Fuel_Equations.VEERG_8_1_1_1__1_FuelCombustionTransport($L36,$G36,$J36)</f>
        <v>0</v>
      </c>
      <c r="Q36" s="160" cm="1">
        <f t="array" ref="Q36">Scope3_Equations.VEERG_15_11_1_1__2_UpstreamTransportFuelEmissions(L36,G36,K36)</f>
        <v>0</v>
      </c>
    </row>
    <row r="37" spans="1:17" ht="20.100000000000001" customHeight="1" x14ac:dyDescent="0.2">
      <c r="A37" s="5" t="str">
        <f>HYPERLINK("#'10.1.1-2 Solid waste treatment'!A1", "10.1.1.1-2 Solid waste")</f>
        <v>10.1.1.1-2 Solid waste</v>
      </c>
      <c r="D37" s="161" t="str">
        <f>Table_FuelTypesPerUse[[#Headers],[Vessels]]</f>
        <v>Vessels</v>
      </c>
      <c r="E37" s="162" t="str">
        <f>'Constants - Fuel'!$E$10</f>
        <v>Gasoline</v>
      </c>
      <c r="F37" s="162" t="str">
        <f>'Constants - Fuel'!$I$131</f>
        <v>Petrol</v>
      </c>
      <c r="G37" s="169" cm="1">
        <f t="array" ref="G37">IFERROR(_xlfn.XLOOKUP(1, (Table_Fuel_EFs_Transport[Fuel combusted]=$E37)*(Table_Fuel_EFs_Transport[Transport type]=$D$37), Table_Fuel_EFs_Transport[Energy Content Factor (GJ per unit of fuel)]), 0)</f>
        <v>34.200000000000003</v>
      </c>
      <c r="H37" s="169" cm="1">
        <f t="array" ref="H37">IFERROR(_xlfn.XLOOKUP(1, (Table_Fuel_EFs_Transport[Fuel combusted]=$E37)*(Table_Fuel_EFs_Transport[Transport type]=$D$37), Table_Fuel_EFs_Transport[Scope 1 Emission Factor (kg CO2 - e / GJ) CO2]), 0)</f>
        <v>67.400000000000006</v>
      </c>
      <c r="I37" s="169" cm="1">
        <f t="array" ref="I37">IFERROR(_xlfn.XLOOKUP(1, (Table_Fuel_EFs_Transport[Fuel combusted]=$E37)*(Table_Fuel_EFs_Transport[Transport type]=$D$37), Table_Fuel_EFs_Transport[Scope 1 Emission Factor (kg CO2 - e / GJ) CH4]), 0)</f>
        <v>10.1</v>
      </c>
      <c r="J37" s="169" cm="1">
        <f t="array" ref="J37">IFERROR(_xlfn.XLOOKUP(1, (Table_Fuel_EFs_Transport[Fuel combusted]=$E37)*(Table_Fuel_EFs_Transport[Transport type]=$D$37), Table_Fuel_EFs_Transport[Scope 1 Emission Factor (kg CO2 - e / GJ) N2O]), 0)</f>
        <v>0.3</v>
      </c>
      <c r="K37" s="169" cm="1">
        <f t="array" ref="K37">IFERROR(_xlfn.XLOOKUP(1, (Table_Fuel_EFs_Transport[Fuel combusted]=$E37)*(Table_Fuel_EFs_Transport[Transport type]=$D$25), Table_Fuel_EFs_Transport[Scope 3 Emission Factor (kg CO2 - e / GJ)]), 0)</f>
        <v>17.2</v>
      </c>
      <c r="L37" s="166" cm="1">
        <f t="array" ref="L37">Fuel_InputFunctions.Fuel_TotalConsumption(Table_Input_Fuel[Amount consumed], Table_Input_Fuel[Fuel use (select)], D37, Table_Input_Fuel[Fuel type (select)],F37)</f>
        <v>0</v>
      </c>
      <c r="M37" s="170" t="str" cm="1">
        <f t="array" ref="M37">Common_InputFunctions.Utility_LookupValueInTable(F37,Table_FuelTypes_Units[Fuel type],Table_FuelTypes_Units[Unit])</f>
        <v>kL</v>
      </c>
      <c r="N37" s="167" cm="1">
        <f t="array" ref="N37">Fuel_Equations.VEERG_8_1_1_1__1_FuelCombustionTransport($L37,$G37,$H37)</f>
        <v>0</v>
      </c>
      <c r="O37" s="167" cm="1">
        <f t="array" ref="O37">Fuel_Equations.VEERG_8_1_1_1__1_FuelCombustionTransport($L37,$G37,$I37)</f>
        <v>0</v>
      </c>
      <c r="P37" s="167" cm="1">
        <f t="array" ref="P37">Fuel_Equations.VEERG_8_1_1_1__1_FuelCombustionTransport($L37,$G37,$J37)</f>
        <v>0</v>
      </c>
      <c r="Q37" s="167" cm="1">
        <f t="array" ref="Q37">Scope3_Equations.VEERG_15_11_1_1__2_UpstreamTransportFuelEmissions(L37,G37,K37)</f>
        <v>0</v>
      </c>
    </row>
    <row r="38" spans="1:17" ht="20.100000000000001" customHeight="1" x14ac:dyDescent="0.2">
      <c r="A38" s="5" t="str">
        <f>HYPERLINK("#'14.1.1-2 Purchased electricity'!A1", "14.1.1-2 Purchased electricity")</f>
        <v>14.1.1-2 Purchased electricity</v>
      </c>
      <c r="D38" s="158" t="str">
        <f>$D$37</f>
        <v>Vessels</v>
      </c>
      <c r="E38" s="155" t="str">
        <f>'Constants - Fuel'!$E$11</f>
        <v>Diesel oil</v>
      </c>
      <c r="F38" s="155"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56" cm="1">
        <f t="array" ref="L38">Fuel_InputFunctions.Fuel_TotalConsumption(Table_Input_Fuel[Amount consumed], Table_Input_Fuel[Fuel use (select)], D38, Table_Input_Fuel[Fuel type (select)],F38)</f>
        <v>0</v>
      </c>
      <c r="M38" s="156" t="str" cm="1">
        <f t="array" ref="M38">Common_InputFunctions.Utility_LookupValueInTable(F38,Table_FuelTypes_Units[Fuel type],Table_FuelTypes_Units[Unit])</f>
        <v>kL</v>
      </c>
      <c r="N38" s="157" cm="1">
        <f t="array" ref="N38">Fuel_Equations.VEERG_8_1_1_1__1_FuelCombustionTransport($L38,$G38,$H38)</f>
        <v>0</v>
      </c>
      <c r="O38" s="157" cm="1">
        <f t="array" ref="O38">Fuel_Equations.VEERG_8_1_1_1__1_FuelCombustionTransport($L38,$G38,$I38)</f>
        <v>0</v>
      </c>
      <c r="P38" s="157" cm="1">
        <f t="array" ref="P38">Fuel_Equations.VEERG_8_1_1_1__1_FuelCombustionTransport($L38,$G38,$J38)</f>
        <v>0</v>
      </c>
      <c r="Q38" s="157" cm="1">
        <f t="array" ref="Q38">Scope3_Equations.VEERG_15_11_1_1__2_UpstreamTransportFuelEmissions(L38,G38,K38)</f>
        <v>0</v>
      </c>
    </row>
    <row r="39" spans="1:17" ht="20.100000000000001" customHeight="1" x14ac:dyDescent="0.2">
      <c r="A39" s="5" t="str">
        <f>HYPERLINK("#'15 Scope 3'!A1", "15 Scope 3")</f>
        <v>15 Scope 3</v>
      </c>
      <c r="D39" s="158" t="str">
        <f>$D$37</f>
        <v>Vessels</v>
      </c>
      <c r="E39" s="155" t="str">
        <f>'Constants - Fuel'!E33</f>
        <v>Fuel Oil</v>
      </c>
      <c r="F39" s="155"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56" cm="1">
        <f t="array" ref="L39">Fuel_InputFunctions.Fuel_TotalConsumption(Table_Input_Fuel[Amount consumed], Table_Input_Fuel[Fuel use (select)], D39, Table_Input_Fuel[Fuel type (select)],F39)</f>
        <v>10</v>
      </c>
      <c r="M39" s="156" t="str" cm="1">
        <f t="array" ref="M39">Common_InputFunctions.Utility_LookupValueInTable(F39,Table_FuelTypes_Units[Fuel type],Table_FuelTypes_Units[Unit])</f>
        <v>kL</v>
      </c>
      <c r="N39" s="157" cm="1">
        <f t="array" ref="N39">Fuel_Equations.VEERG_8_1_1_1__1_FuelCombustionTransport($L39,$G39,$H39)</f>
        <v>29.219199999999997</v>
      </c>
      <c r="O39" s="157" cm="1">
        <f t="array" ref="O39">Fuel_Equations.VEERG_8_1_1_1__1_FuelCombustionTransport($L39,$G39,$I39)</f>
        <v>7.9400000000000012E-2</v>
      </c>
      <c r="P39" s="157" cm="1">
        <f t="array" ref="P39">Fuel_Equations.VEERG_8_1_1_1__1_FuelCombustionTransport($L39,$G39,$J39)</f>
        <v>0.19850000000000001</v>
      </c>
      <c r="Q39" s="157" cm="1">
        <f t="array" ref="Q39">Scope3_Equations.VEERG_15_11_1_1__2_UpstreamTransportFuelEmissions(L39,G39,K39)</f>
        <v>7.1459999999999999</v>
      </c>
    </row>
    <row r="40" spans="1:17" ht="20.100000000000001" customHeight="1" x14ac:dyDescent="0.2">
      <c r="A40" s="5" t="str">
        <f>HYPERLINK("#'Calcs - Manure sent off-site'!A1", "Calcs - Manure sent off-site")</f>
        <v>Calcs - Manure sent off-site</v>
      </c>
      <c r="H40" s="154"/>
      <c r="I40" s="154"/>
      <c r="J40" s="154"/>
      <c r="L40" s="154"/>
      <c r="M40" s="154"/>
      <c r="N40" s="154"/>
      <c r="O40" s="154"/>
      <c r="P40" s="154"/>
      <c r="Q40" s="154"/>
    </row>
    <row r="41" spans="1:17" ht="20.100000000000001" customHeight="1" x14ac:dyDescent="0.2">
      <c r="A41" s="5" t="str">
        <f>HYPERLINK("#'5.1.1.1-2 Inorganic fert N2O'!A1", "5.1.1.1-2 Inorganic fert N2O")</f>
        <v>5.1.1.1-2 Inorganic fert N2O</v>
      </c>
      <c r="H41" s="154"/>
      <c r="I41" s="154"/>
      <c r="J41" s="154"/>
      <c r="L41" s="154"/>
      <c r="M41" s="154"/>
      <c r="N41" s="154"/>
      <c r="O41" s="154"/>
      <c r="P41" s="154"/>
      <c r="Q41" s="154"/>
    </row>
    <row r="42" spans="1:17" ht="20.100000000000001" customHeight="1" x14ac:dyDescent="0.2">
      <c r="A42" s="5" t="str">
        <f>HYPERLINK("#'5.1.1.3-4 Inorganic fert CO2'!A1", "5.1.1.3-4 Inorganic fert CO2")</f>
        <v>5.1.1.3-4 Inorganic fert CO2</v>
      </c>
      <c r="D42" s="171" t="str">
        <f>"Total scope 1 - " &amp; D25</f>
        <v>Total scope 1 - Cars and light commercial vehicles</v>
      </c>
      <c r="E42" s="172"/>
      <c r="F42" s="173"/>
    </row>
    <row r="43" spans="1:17" ht="20.100000000000001" customHeight="1" x14ac:dyDescent="0.2">
      <c r="A43" s="5" t="str">
        <f>HYPERLINK("#'5.2.1.1-2 Organic Fert N2O'!A1", "5.2.1.1-2 Organic Fert N2O")</f>
        <v>5.2.1.1-2 Organic Fert N2O</v>
      </c>
      <c r="D43" s="24" t="s">
        <v>624</v>
      </c>
      <c r="E43" s="174">
        <f>SUM(N25:N32)+N("Partial sum")</f>
        <v>26.981400000000001</v>
      </c>
      <c r="F43" s="16" t="str">
        <f>$E$12</f>
        <v>t CO2-e</v>
      </c>
    </row>
    <row r="44" spans="1:17" ht="20.100000000000001" customHeight="1" x14ac:dyDescent="0.2">
      <c r="A44" s="5" t="str">
        <f>HYPERLINK("#'5.3.1.1-2 Lime CO2'!A1", "5.3.1.1-2 Lime CO2")</f>
        <v>5.3.1.1-2 Lime CO2</v>
      </c>
      <c r="D44" s="24" t="s">
        <v>625</v>
      </c>
      <c r="E44" s="174">
        <f>SUM(O25:O32)+N("Partial sum")</f>
        <v>3.8600000000000001E-3</v>
      </c>
      <c r="F44" s="16" t="str">
        <f t="shared" ref="F44:F46" si="1">$E$12</f>
        <v>t CO2-e</v>
      </c>
    </row>
    <row r="45" spans="1:17" ht="20.100000000000001" customHeight="1" x14ac:dyDescent="0.2">
      <c r="A45" s="5" t="str">
        <f>HYPERLINK("#'5.4.1.1-4 Atmos deposition'!A1", "5.4.1.1-4 Atmos deposition")</f>
        <v>5.4.1.1-4 Atmos deposition</v>
      </c>
      <c r="D45" s="24" t="s">
        <v>626</v>
      </c>
      <c r="E45" s="174">
        <f>SUM(P25:P32)+N("Partial sum")</f>
        <v>0.193</v>
      </c>
      <c r="F45" s="16" t="str">
        <f t="shared" si="1"/>
        <v>t CO2-e</v>
      </c>
    </row>
    <row r="46" spans="1:17" ht="20.100000000000001" customHeight="1" x14ac:dyDescent="0.2">
      <c r="A46" s="5" t="str">
        <f>HYPERLINK("#'5.5.1.1-2 Leaching and runoff'!A1", "5.5.1.1-2 Leaching and runoff")</f>
        <v>5.5.1.1-2 Leaching and runoff</v>
      </c>
      <c r="D46" s="24" t="s">
        <v>239</v>
      </c>
      <c r="E46" s="174">
        <f>SUM(Q25:Q32)+N("Partial sum")</f>
        <v>6.6778000000000004</v>
      </c>
      <c r="F46" s="16" t="str">
        <f t="shared" si="1"/>
        <v>t CO2-e</v>
      </c>
    </row>
    <row r="47" spans="1:17" ht="20.100000000000001" customHeight="1" x14ac:dyDescent="0.2">
      <c r="D47" s="154"/>
      <c r="E47" s="154"/>
      <c r="F47" s="154"/>
    </row>
    <row r="48" spans="1:17" ht="20.100000000000001" customHeight="1" x14ac:dyDescent="0.2">
      <c r="D48" s="171" t="str">
        <f>"Total scope 1 - " &amp; D33</f>
        <v>Total scope 1 - Off-road Agriculture and forestry equipment</v>
      </c>
      <c r="E48" s="175"/>
      <c r="F48" s="173"/>
      <c r="H48" s="154"/>
      <c r="I48" s="154"/>
      <c r="J48" s="154"/>
      <c r="L48" s="154"/>
      <c r="M48" s="154"/>
      <c r="N48" s="154"/>
      <c r="O48" s="154"/>
      <c r="P48" s="154"/>
      <c r="Q48" s="154"/>
    </row>
    <row r="49" spans="1:17" ht="20.100000000000001" customHeight="1" x14ac:dyDescent="0.2">
      <c r="A49" s="80" t="s">
        <v>1</v>
      </c>
      <c r="D49" s="24" t="s">
        <v>624</v>
      </c>
      <c r="E49" s="174">
        <f>SUM(N33:N33)+N("Partial sum")</f>
        <v>26.981400000000001</v>
      </c>
      <c r="F49" s="16" t="str">
        <f t="shared" ref="F49:F52" si="2">$E$12</f>
        <v>t CO2-e</v>
      </c>
      <c r="H49" s="154"/>
      <c r="I49" s="154"/>
      <c r="J49" s="154"/>
      <c r="L49" s="154"/>
      <c r="M49" s="154"/>
      <c r="N49" s="154"/>
      <c r="O49" s="154"/>
      <c r="P49" s="154"/>
      <c r="Q49" s="154"/>
    </row>
    <row r="50" spans="1:17" ht="20.100000000000001" customHeight="1" x14ac:dyDescent="0.2">
      <c r="A50" s="5" t="str">
        <f>HYPERLINK("#'Constants - Poultry'!A1", "Constants - Poultry")</f>
        <v>Constants - Poultry</v>
      </c>
      <c r="D50" s="24" t="s">
        <v>625</v>
      </c>
      <c r="E50" s="174">
        <f>SUM(O33:O33)+N("Partial sum")</f>
        <v>0.1158</v>
      </c>
      <c r="F50" s="16" t="str">
        <f t="shared" si="2"/>
        <v>t CO2-e</v>
      </c>
      <c r="H50" s="154"/>
      <c r="I50" s="154"/>
      <c r="J50" s="154"/>
      <c r="L50" s="154"/>
      <c r="M50" s="154"/>
      <c r="N50" s="154"/>
      <c r="O50" s="154"/>
      <c r="P50" s="154"/>
      <c r="Q50" s="154"/>
    </row>
    <row r="51" spans="1:17" ht="20.100000000000001" customHeight="1" x14ac:dyDescent="0.2">
      <c r="A51" s="5" t="str">
        <f>HYPERLINK("#'Constants - Common livestock'!A1", "Constants - Common Livestock")</f>
        <v>Constants - Common Livestock</v>
      </c>
      <c r="D51" s="24" t="s">
        <v>626</v>
      </c>
      <c r="E51" s="174">
        <f>SUM(P33:P33)+N("Partial sum")</f>
        <v>0.193</v>
      </c>
      <c r="F51" s="16" t="str">
        <f t="shared" si="2"/>
        <v>t CO2-e</v>
      </c>
      <c r="H51" s="154"/>
      <c r="I51" s="154"/>
      <c r="J51" s="154"/>
      <c r="L51" s="154"/>
      <c r="M51" s="154"/>
      <c r="N51" s="154"/>
      <c r="O51" s="154"/>
      <c r="P51" s="154"/>
      <c r="Q51" s="154"/>
    </row>
    <row r="52" spans="1:17" ht="20.100000000000001" customHeight="1" x14ac:dyDescent="0.2">
      <c r="A52" s="5" t="str">
        <f>HYPERLINK("#'Constants - Electricity'!A1", "Constants - Electricity")</f>
        <v>Constants - Electricity</v>
      </c>
      <c r="D52" s="24" t="s">
        <v>239</v>
      </c>
      <c r="E52" s="174">
        <f>SUM(Q33)+N("Partial sum")</f>
        <v>6.6778000000000004</v>
      </c>
      <c r="F52" s="16" t="str">
        <f t="shared" si="2"/>
        <v>t CO2-e</v>
      </c>
      <c r="H52" s="154"/>
      <c r="I52" s="154"/>
      <c r="J52" s="154"/>
      <c r="L52" s="154"/>
      <c r="M52" s="154"/>
      <c r="N52" s="154"/>
      <c r="O52" s="154"/>
      <c r="P52" s="154"/>
      <c r="Q52" s="154"/>
    </row>
    <row r="53" spans="1:17" ht="20.100000000000001" customHeight="1" x14ac:dyDescent="0.2">
      <c r="A53" s="5" t="str">
        <f>HYPERLINK("#'Constants - Fertiliser'!A1", "Constants - Fertiliser")</f>
        <v>Constants - Fertiliser</v>
      </c>
      <c r="D53" s="154"/>
      <c r="E53" s="176"/>
      <c r="F53" s="154"/>
      <c r="G53" s="154"/>
      <c r="H53" s="154"/>
      <c r="I53" s="154"/>
      <c r="J53" s="154"/>
      <c r="L53" s="154"/>
      <c r="M53" s="154"/>
      <c r="N53" s="154"/>
      <c r="O53" s="154"/>
      <c r="P53" s="154"/>
      <c r="Q53" s="154"/>
    </row>
    <row r="54" spans="1:17" ht="20.100000000000001" customHeight="1" x14ac:dyDescent="0.2">
      <c r="A54" s="5" t="str">
        <f>HYPERLINK("#'Constants - Fuel'!A1", "Constants - Fuel")</f>
        <v>Constants - Fuel</v>
      </c>
      <c r="D54" s="171" t="str">
        <f>"Total scope 1 - " &amp; D34</f>
        <v>Total scope 1 - Aviation</v>
      </c>
      <c r="E54" s="175"/>
      <c r="F54" s="173"/>
      <c r="G54" s="154"/>
      <c r="H54" s="154"/>
      <c r="I54" s="154"/>
      <c r="J54" s="154"/>
      <c r="L54" s="154"/>
      <c r="M54" s="154"/>
      <c r="N54" s="154"/>
      <c r="O54" s="154"/>
      <c r="P54" s="154"/>
      <c r="Q54" s="154"/>
    </row>
    <row r="55" spans="1:17" ht="20.100000000000001" customHeight="1" x14ac:dyDescent="0.2">
      <c r="A55" s="5" t="str">
        <f>HYPERLINK("#'Constants - Scope 3'!A1", "Constants - Scope 3")</f>
        <v>Constants - Scope 3</v>
      </c>
      <c r="D55" s="24" t="s">
        <v>624</v>
      </c>
      <c r="E55" s="174">
        <f>SUM(N34:N36)+N("Partial sum")</f>
        <v>0</v>
      </c>
      <c r="F55" s="16" t="str">
        <f t="shared" ref="F55:F58" si="3">$E$12</f>
        <v>t CO2-e</v>
      </c>
      <c r="G55" s="154"/>
      <c r="H55" s="154"/>
      <c r="I55" s="154"/>
      <c r="J55" s="154"/>
      <c r="L55" s="154"/>
      <c r="M55" s="154"/>
      <c r="N55" s="154"/>
      <c r="O55" s="154"/>
      <c r="P55" s="154"/>
      <c r="Q55" s="154"/>
    </row>
    <row r="56" spans="1:17" ht="20.100000000000001" customHeight="1" x14ac:dyDescent="0.2">
      <c r="A56" s="5" t="str">
        <f>HYPERLINK("#'Constants - Solid Waste'!A1", "Constants - Solid Waste")</f>
        <v>Constants - Solid Waste</v>
      </c>
      <c r="D56" s="24" t="s">
        <v>625</v>
      </c>
      <c r="E56" s="174">
        <f>SUM(O34:O36)+N("Partial sum")</f>
        <v>0</v>
      </c>
      <c r="F56" s="16" t="str">
        <f t="shared" si="3"/>
        <v>t CO2-e</v>
      </c>
      <c r="G56" s="154"/>
      <c r="H56" s="154"/>
      <c r="I56" s="154"/>
      <c r="J56" s="154"/>
      <c r="L56" s="154"/>
      <c r="M56" s="154"/>
      <c r="N56" s="154"/>
      <c r="O56" s="154"/>
      <c r="P56" s="154"/>
      <c r="Q56" s="154"/>
    </row>
    <row r="57" spans="1:17" ht="20.100000000000001" customHeight="1" x14ac:dyDescent="0.2">
      <c r="A57" s="5" t="str">
        <f>HYPERLINK("#'Constants - Common'!A1", "Constants - Common")</f>
        <v>Constants - Common</v>
      </c>
      <c r="D57" s="24" t="s">
        <v>626</v>
      </c>
      <c r="E57" s="174">
        <f>SUM(P34:P36)+N("Partial sum")</f>
        <v>0</v>
      </c>
      <c r="F57" s="16" t="str">
        <f t="shared" si="3"/>
        <v>t CO2-e</v>
      </c>
      <c r="G57" s="154"/>
      <c r="H57" s="154"/>
      <c r="I57" s="154"/>
      <c r="J57" s="154"/>
      <c r="L57" s="154"/>
      <c r="M57" s="154"/>
      <c r="N57" s="154"/>
      <c r="O57" s="154"/>
      <c r="P57" s="154"/>
      <c r="Q57" s="154"/>
    </row>
    <row r="58" spans="1:17" ht="20.100000000000001" customHeight="1" x14ac:dyDescent="0.2">
      <c r="D58" s="24" t="s">
        <v>239</v>
      </c>
      <c r="E58" s="174">
        <f>SUM(Q34:Q36)+N("Partial sum")</f>
        <v>0</v>
      </c>
      <c r="F58" s="16" t="str">
        <f t="shared" si="3"/>
        <v>t CO2-e</v>
      </c>
      <c r="G58" s="154"/>
      <c r="H58" s="154"/>
      <c r="I58" s="154"/>
      <c r="J58" s="154"/>
      <c r="L58" s="154"/>
      <c r="M58" s="154"/>
      <c r="N58" s="154"/>
      <c r="O58" s="154"/>
      <c r="P58" s="154"/>
      <c r="Q58" s="154"/>
    </row>
    <row r="59" spans="1:17" ht="20.100000000000001" customHeight="1" x14ac:dyDescent="0.2">
      <c r="D59" s="154"/>
      <c r="E59" s="176"/>
      <c r="F59" s="154"/>
      <c r="G59" s="154"/>
      <c r="H59" s="154"/>
      <c r="I59" s="154"/>
      <c r="J59" s="154"/>
      <c r="L59" s="154"/>
      <c r="M59" s="154"/>
      <c r="N59" s="154"/>
      <c r="O59" s="154"/>
      <c r="P59" s="154"/>
      <c r="Q59" s="154"/>
    </row>
    <row r="60" spans="1:17" ht="20.100000000000001" customHeight="1" x14ac:dyDescent="0.2">
      <c r="D60" s="171" t="str">
        <f>"Total scope 1 - " &amp; D37</f>
        <v>Total scope 1 - Vessels</v>
      </c>
      <c r="E60" s="175"/>
      <c r="F60" s="173"/>
      <c r="G60" s="154"/>
      <c r="H60" s="154"/>
      <c r="I60" s="154"/>
      <c r="J60" s="154"/>
      <c r="L60" s="154"/>
      <c r="M60" s="154"/>
      <c r="N60" s="154"/>
      <c r="O60" s="154"/>
      <c r="P60" s="154"/>
      <c r="Q60" s="154"/>
    </row>
    <row r="61" spans="1:17" ht="20.100000000000001" customHeight="1" x14ac:dyDescent="0.2">
      <c r="D61" s="24" t="s">
        <v>624</v>
      </c>
      <c r="E61" s="174">
        <f>SUM(N37:N39)+N("Partial sum")</f>
        <v>29.219199999999997</v>
      </c>
      <c r="F61" s="16" t="str">
        <f t="shared" ref="F61:F64" si="4">$E$12</f>
        <v>t CO2-e</v>
      </c>
      <c r="G61" s="154"/>
      <c r="H61" s="154"/>
      <c r="I61" s="154"/>
      <c r="J61" s="154"/>
      <c r="L61" s="154"/>
      <c r="M61" s="154"/>
      <c r="N61" s="154"/>
      <c r="O61" s="154"/>
      <c r="P61" s="154"/>
      <c r="Q61" s="154"/>
    </row>
    <row r="62" spans="1:17" ht="20.100000000000001" customHeight="1" x14ac:dyDescent="0.2">
      <c r="D62" s="24" t="s">
        <v>625</v>
      </c>
      <c r="E62" s="174">
        <f>SUM(O37:O39)+N("Partial sum")</f>
        <v>7.9400000000000012E-2</v>
      </c>
      <c r="F62" s="16" t="str">
        <f t="shared" si="4"/>
        <v>t CO2-e</v>
      </c>
      <c r="G62" s="154"/>
      <c r="H62" s="154"/>
      <c r="I62" s="154"/>
      <c r="J62" s="154"/>
      <c r="L62" s="154"/>
      <c r="M62" s="154"/>
      <c r="N62" s="154"/>
      <c r="O62" s="154"/>
      <c r="P62" s="154"/>
      <c r="Q62" s="154"/>
    </row>
    <row r="63" spans="1:17" ht="20.100000000000001" customHeight="1" x14ac:dyDescent="0.2">
      <c r="D63" s="24" t="s">
        <v>626</v>
      </c>
      <c r="E63" s="174">
        <f>SUM(P37:P39)+N("Partial sum")</f>
        <v>0.19850000000000001</v>
      </c>
      <c r="F63" s="16" t="str">
        <f t="shared" si="4"/>
        <v>t CO2-e</v>
      </c>
      <c r="G63" s="154"/>
      <c r="H63" s="154"/>
      <c r="I63" s="154"/>
      <c r="J63" s="154"/>
      <c r="L63" s="154"/>
      <c r="M63" s="154"/>
      <c r="N63" s="154"/>
      <c r="O63" s="154"/>
      <c r="P63" s="154"/>
      <c r="Q63" s="154"/>
    </row>
    <row r="64" spans="1:17" ht="20.100000000000001" customHeight="1" x14ac:dyDescent="0.2">
      <c r="D64" s="24" t="s">
        <v>239</v>
      </c>
      <c r="E64" s="174">
        <f>SUM(Q37:Q39)+N("Partial sum")</f>
        <v>7.1459999999999999</v>
      </c>
      <c r="F64" s="16" t="str">
        <f t="shared" si="4"/>
        <v>t CO2-e</v>
      </c>
      <c r="G64" s="154"/>
      <c r="H64" s="154"/>
      <c r="I64" s="154"/>
      <c r="J64" s="154"/>
      <c r="L64" s="154"/>
      <c r="M64" s="154"/>
      <c r="N64" s="154"/>
      <c r="O64" s="154"/>
      <c r="P64" s="154"/>
      <c r="Q64" s="154"/>
    </row>
    <row r="65" spans="1:17" ht="20.100000000000001" customHeight="1" x14ac:dyDescent="0.2">
      <c r="G65" s="154"/>
      <c r="H65" s="154"/>
      <c r="I65" s="154"/>
      <c r="J65" s="154"/>
      <c r="L65" s="154"/>
      <c r="M65" s="154"/>
      <c r="N65" s="154"/>
      <c r="O65" s="154"/>
      <c r="P65" s="154"/>
      <c r="Q65" s="154"/>
    </row>
    <row r="66" spans="1:17" ht="20.100000000000001" customHeight="1" x14ac:dyDescent="0.2">
      <c r="D66" s="171" t="s">
        <v>627</v>
      </c>
      <c r="E66" s="177"/>
      <c r="F66" s="173"/>
      <c r="G66" s="154"/>
      <c r="H66" s="154"/>
      <c r="I66" s="154"/>
      <c r="J66" s="154"/>
      <c r="L66" s="154"/>
      <c r="M66" s="154"/>
      <c r="N66" s="154"/>
      <c r="O66" s="154"/>
      <c r="P66" s="154"/>
      <c r="Q66" s="154"/>
    </row>
    <row r="67" spans="1:17" ht="20.100000000000001" customHeight="1" x14ac:dyDescent="0.2">
      <c r="D67" s="24" t="s">
        <v>624</v>
      </c>
      <c r="E67" s="174">
        <f>E43+E49+E55+E61</f>
        <v>83.182000000000002</v>
      </c>
      <c r="F67" s="16" t="str">
        <f t="shared" ref="F67:F70" si="5">$E$12</f>
        <v>t CO2-e</v>
      </c>
      <c r="G67" s="154"/>
    </row>
    <row r="68" spans="1:17" ht="20.100000000000001" customHeight="1" x14ac:dyDescent="0.2">
      <c r="A68" s="79" t="str">
        <f>HYPERLINK("#A1", "▲ Back to top")</f>
        <v>▲ Back to top</v>
      </c>
      <c r="D68" s="24" t="s">
        <v>625</v>
      </c>
      <c r="E68" s="174">
        <f t="shared" ref="E68:E70" si="6">E44+E50+E56+E62</f>
        <v>0.19906000000000001</v>
      </c>
      <c r="F68" s="16" t="str">
        <f t="shared" si="5"/>
        <v>t CO2-e</v>
      </c>
      <c r="G68" s="154"/>
    </row>
    <row r="69" spans="1:17" ht="20.100000000000001" customHeight="1" x14ac:dyDescent="0.2">
      <c r="D69" s="24" t="s">
        <v>626</v>
      </c>
      <c r="E69" s="174">
        <f t="shared" si="6"/>
        <v>0.58450000000000002</v>
      </c>
      <c r="F69" s="16" t="str">
        <f t="shared" si="5"/>
        <v>t CO2-e</v>
      </c>
      <c r="G69" s="154"/>
    </row>
    <row r="70" spans="1:17" ht="20.100000000000001" customHeight="1" x14ac:dyDescent="0.2">
      <c r="D70" s="24" t="s">
        <v>239</v>
      </c>
      <c r="E70" s="174">
        <f t="shared" si="6"/>
        <v>20.5016</v>
      </c>
      <c r="F70" s="16" t="str">
        <f t="shared" si="5"/>
        <v>t CO2-e</v>
      </c>
      <c r="G70" s="154"/>
    </row>
    <row r="71" spans="1:17" ht="20.100000000000001" customHeight="1" x14ac:dyDescent="0.2">
      <c r="G71" s="154"/>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88066DC6-B2FE-4879-B291-304F766B2AA1}"/>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CDD79-46C7-4B4B-9289-A91CBDC2794D}">
  <sheetPr>
    <tabColor rgb="FF008000"/>
  </sheetPr>
  <dimension ref="A1:R71"/>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628</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54"/>
      <c r="P5" s="154"/>
      <c r="Q5" s="154"/>
      <c r="R5" s="154"/>
    </row>
    <row r="6" spans="1:18" ht="20.100000000000001" customHeight="1" x14ac:dyDescent="0.2">
      <c r="D6" s="17" t="str" cm="1">
        <f t="array" ref="D6">Fuel_Equations.VEERG_8_2_1_1__1_FuelCombustionStationary_Source()</f>
        <v>VEERG 2026: 8.2.1.1, Equation (1)</v>
      </c>
      <c r="K6" s="17" t="str" cm="1">
        <f t="array" ref="K6">Scope3_Equations.VEERG_15_11_1_1__3_UpstreamStationaryFuelEmissions_Source()</f>
        <v>VEERG 2026: 15.11.1.1, Equation (3)</v>
      </c>
      <c r="O6" s="154"/>
      <c r="P6" s="154"/>
      <c r="Q6" s="154"/>
      <c r="R6" s="154"/>
    </row>
    <row r="7" spans="1:18" ht="20.100000000000001" customHeight="1" x14ac:dyDescent="0.2">
      <c r="D7" s="112" t="s">
        <v>328</v>
      </c>
      <c r="E7" s="112" t="str" cm="1">
        <f t="array" aca="1" ref="E7" ca="1">Common_InputFunctions.Utility_DisplayFunctionName(N25)</f>
        <v>=Fuel_Equations.VEERG_8_2_1_1__1_FuelCombustionStationary</v>
      </c>
      <c r="K7" s="25" t="str" cm="1">
        <f t="array" ref="K7">Scope3_Equations.VEERG_15_11_1_1__3_UpstreamStationaryFuelEmissions_Variation()</f>
        <v>VARIATION ON SOURCE: Added 'state' and 'metro/non-metro' arguments as gaseous scope 3 EFs are state and metro/non-metro location-based.</v>
      </c>
      <c r="O7" s="154"/>
      <c r="P7" s="154"/>
      <c r="Q7" s="154"/>
      <c r="R7" s="154"/>
    </row>
    <row r="8" spans="1:18" ht="20.100000000000001" customHeight="1" x14ac:dyDescent="0.2">
      <c r="A8" s="7" t="s">
        <v>0</v>
      </c>
      <c r="K8" s="112" t="s">
        <v>328</v>
      </c>
      <c r="L8" s="112" t="str" cm="1">
        <f t="array" aca="1" ref="L8" ca="1">Common_InputFunctions.Utility_DisplayFunctionName(Q25)</f>
        <v>=Fuel_Equations.VEERG_8_2_1_1__1_FuelCombustionStationary</v>
      </c>
      <c r="O8" s="154"/>
      <c r="P8" s="154"/>
      <c r="Q8" s="154"/>
      <c r="R8" s="154"/>
    </row>
    <row r="9" spans="1:18" ht="20.100000000000001" customHeight="1" x14ac:dyDescent="0.2">
      <c r="A9" s="5" t="str">
        <f>HYPERLINK("#'Input - Enterprise'!A1", "Enterprise")</f>
        <v>Enterprise</v>
      </c>
      <c r="G9" s="17"/>
      <c r="O9" s="154"/>
      <c r="P9" s="154"/>
      <c r="Q9" s="154"/>
      <c r="R9" s="154"/>
    </row>
    <row r="10" spans="1:18" ht="20.100000000000001" customHeight="1" x14ac:dyDescent="0.2">
      <c r="A10" s="5" t="str">
        <f>HYPERLINK("#'Input - Site'!A1", "Site")</f>
        <v>Site</v>
      </c>
      <c r="O10" s="154"/>
      <c r="P10" s="154"/>
      <c r="Q10" s="154"/>
      <c r="R10" s="154"/>
    </row>
    <row r="11" spans="1:18" ht="20.100000000000001" customHeight="1" x14ac:dyDescent="0.2">
      <c r="A11" s="5" t="str">
        <f>HYPERLINK("#'Input - Poultry'!A1", "Poultry")</f>
        <v>Poultry</v>
      </c>
      <c r="D11" s="75" t="s">
        <v>329</v>
      </c>
      <c r="E11" s="1" t="str" cm="1">
        <f t="array" ref="E11">Fuel_Equations.VEERG_8_2_1_1__1_FuelCombustionStationary_Variable()</f>
        <v>E_g</v>
      </c>
      <c r="K11" s="75" t="s">
        <v>329</v>
      </c>
      <c r="L11" s="1" t="str" cm="1">
        <f t="array" ref="L11">Scope3_Equations.VEERG_15_11_1_1__3_UpstreamStationaryFuelEmissions_Variable()</f>
        <v>E_WTTSCq</v>
      </c>
      <c r="O11" s="154"/>
      <c r="P11" s="154"/>
      <c r="Q11" s="154"/>
      <c r="R11" s="154"/>
    </row>
    <row r="12" spans="1:18" ht="20.100000000000001" customHeight="1" x14ac:dyDescent="0.2">
      <c r="A12" s="5" t="str">
        <f>HYPERLINK("#'Input - Livestock sales'!A1", "Livestock sales")</f>
        <v>Livestock sales</v>
      </c>
      <c r="D12" s="75" t="s">
        <v>118</v>
      </c>
      <c r="E12" s="9" t="str" cm="1">
        <f t="array" ref="E12">Fuel_Equations.VEERG_8_2_1_1__1_FuelCombustionStationary_Unit()</f>
        <v>t CO2-e</v>
      </c>
      <c r="K12" s="75" t="s">
        <v>118</v>
      </c>
      <c r="L12" s="9" t="str" cm="1">
        <f t="array" ref="L12">Scope3_Equations.VEERG_15_11_1_1__3_UpstreamStationaryFuelEmissions_Unit()</f>
        <v>t CO2e</v>
      </c>
    </row>
    <row r="13" spans="1:18" ht="20.100000000000001" customHeight="1" x14ac:dyDescent="0.2">
      <c r="A13" s="5" t="str">
        <f>HYPERLINK("#'Input - Poultry purchases'!A1", "Poultry purchases")</f>
        <v>Poultry purchases</v>
      </c>
    </row>
    <row r="14" spans="1:18" ht="20.100000000000001" customHeight="1" x14ac:dyDescent="0.2">
      <c r="A14" s="5" t="str">
        <f>HYPERLINK("#'Input - Fuel'!A1", "Fuel")</f>
        <v>Fuel</v>
      </c>
      <c r="D14" s="113" t="str" cm="1">
        <f t="array" ref="D14:E20">_xlfn.CHOOSECOLS(Fuel_Equations.VEERG_8_2_1_1__1_FuelCombustionStationary_Arguments(), 1,2)</f>
        <v>Q_SCq</v>
      </c>
      <c r="E14" s="122" t="str">
        <v>Amount of fuel type q used for stationary combustion operations</v>
      </c>
      <c r="F14" s="123"/>
      <c r="G14" s="113" t="str" cm="1">
        <f t="array" ref="G14:H20">_xlfn.CHOOSECOLS(Fuel_Equations.VEERG_8_2_1_1__1_FuelCombustionStationary_Arguments(), 3,4)</f>
        <v>Varies based on fuel type: kL, m3, GJ</v>
      </c>
      <c r="H14" s="114" t="str">
        <v>Input</v>
      </c>
      <c r="I14" s="116" t="str" cm="1">
        <f t="array" aca="1" ref="I14" ca="1">HYPERLINK(Common_InputFunctions.Utility_SourceHyperlink($D$22), $D$22)</f>
        <v>Table_E_g</v>
      </c>
      <c r="K14" s="113" t="str" cm="1">
        <f t="array" ref="K14:L18">_xlfn.CHOOSECOLS(Scope3_Equations.VEERG_15_11_1_1__3_UpstreamStationaryFuelEmissions_Arguments(),1,2)</f>
        <v>Q_SCq</v>
      </c>
      <c r="L14" s="113" t="str">
        <v>amount of fuel q used for stationary combustion operations</v>
      </c>
      <c r="M14" s="113"/>
      <c r="N14" s="113" t="str" cm="1">
        <f t="array" ref="N14:O18">_xlfn.CHOOSECOLS(Scope3_Equations.VEERG_15_11_1_1__3_UpstreamStationaryFuelEmissions_Arguments(),3,4)</f>
        <v>kL</v>
      </c>
      <c r="O14" s="114" t="str">
        <v>Input</v>
      </c>
      <c r="P14" s="116" t="str" cm="1">
        <f t="array" aca="1" ref="P14" ca="1">HYPERLINK(Common_InputFunctions.Utility_SourceHyperlink($D$22), $D$22)</f>
        <v>Table_E_g</v>
      </c>
      <c r="Q14" s="154"/>
    </row>
    <row r="15" spans="1:18" ht="20.100000000000001" customHeight="1" x14ac:dyDescent="0.2">
      <c r="A15" s="5" t="str">
        <f>HYPERLINK("#'Input - Electricity'!A1", "Electricity")</f>
        <v>Electricity</v>
      </c>
      <c r="D15" s="113" t="str">
        <v>EC_SCq</v>
      </c>
      <c r="E15" s="122" t="str">
        <v>Energy content factor for stationary combustion operations</v>
      </c>
      <c r="F15" s="123"/>
      <c r="G15" s="113" t="str">
        <v>GJ / unit of fuel</v>
      </c>
      <c r="H15" s="115" t="str">
        <v>Constant</v>
      </c>
      <c r="I15" s="116" t="str" cm="1">
        <f t="array" aca="1" ref="I15" ca="1">HYPERLINK(Common_InputFunctions.Utility_SourceHyperlink($D$22), $D$22)</f>
        <v>Table_E_g</v>
      </c>
      <c r="K15" s="113" t="str">
        <v>EC_SCq</v>
      </c>
      <c r="L15" s="113" t="str">
        <v>energy content factor for stationary combustion operations</v>
      </c>
      <c r="M15" s="113"/>
      <c r="N15" s="113" t="str">
        <v>GJ/kL</v>
      </c>
      <c r="O15" s="115" t="str">
        <v>Constant</v>
      </c>
      <c r="P15" s="116" t="str" cm="1">
        <f t="array" aca="1" ref="P15" ca="1">HYPERLINK(Common_InputFunctions.Utility_SourceHyperlink($D$22), $D$22)</f>
        <v>Table_E_g</v>
      </c>
      <c r="Q15" s="154"/>
    </row>
    <row r="16" spans="1:18" ht="20.100000000000001" customHeight="1" x14ac:dyDescent="0.2">
      <c r="A16" s="5" t="str">
        <f>HYPERLINK("#'Input - Common farm inputs'!A1", "Common farm inputs")</f>
        <v>Common farm inputs</v>
      </c>
      <c r="D16" s="113" t="str">
        <v>EF_SC1qg</v>
      </c>
      <c r="E16" s="122" t="str">
        <v>Scope 1 emission factor for stationary combustion for each greenhouse gas</v>
      </c>
      <c r="F16" s="123"/>
      <c r="G16" s="113" t="str">
        <v>kg CO2e / GJ</v>
      </c>
      <c r="H16" s="115" t="str">
        <v>Constant</v>
      </c>
      <c r="I16" s="116" t="str" cm="1">
        <f t="array" aca="1" ref="I16" ca="1">HYPERLINK(Common_InputFunctions.Utility_SourceHyperlink($D$22), $D$22)</f>
        <v>Table_E_g</v>
      </c>
      <c r="K16" s="113" t="str">
        <v>EF_SC3q</v>
      </c>
      <c r="L16" s="113" t="str">
        <v>scope 3 emission factor for stationary combustion operations</v>
      </c>
      <c r="M16" s="113"/>
      <c r="N16" s="113" t="str">
        <v>kg CO2e/GJ</v>
      </c>
      <c r="O16" s="115" t="str">
        <v>Constant</v>
      </c>
      <c r="P16" s="116" t="str" cm="1">
        <f t="array" aca="1" ref="P16" ca="1">HYPERLINK(Common_InputFunctions.Utility_SourceHyperlink($D$22), $D$22)</f>
        <v>Table_E_g</v>
      </c>
      <c r="Q16" s="154"/>
    </row>
    <row r="17" spans="1:17" ht="20.100000000000001" customHeight="1" x14ac:dyDescent="0.2">
      <c r="A17" s="5" t="str">
        <f>HYPERLINK("#'Input - Livestock farm Inputs'!A1", "Livestock farm Inputs")</f>
        <v>Livestock farm Inputs</v>
      </c>
      <c r="D17" s="113" t="str">
        <v>q</v>
      </c>
      <c r="E17" s="122" t="str">
        <v>Fuel type</v>
      </c>
      <c r="F17" s="123"/>
      <c r="G17" s="113" t="str">
        <v/>
      </c>
      <c r="H17" s="115" t="str">
        <v>Constant</v>
      </c>
      <c r="I17" s="116"/>
      <c r="J17" s="154"/>
      <c r="K17" s="113" t="str">
        <v>i</v>
      </c>
      <c r="L17" s="122" t="str">
        <v>state</v>
      </c>
      <c r="M17" s="123"/>
      <c r="N17" s="113" t="str">
        <v/>
      </c>
      <c r="O17" s="114" t="str">
        <v>Input</v>
      </c>
      <c r="P17" s="113" t="str">
        <f>X_Cell_Site_State</f>
        <v>Western Australia</v>
      </c>
      <c r="Q17" s="154"/>
    </row>
    <row r="18" spans="1:17" ht="20.100000000000001" customHeight="1" x14ac:dyDescent="0.2">
      <c r="A18" s="5" t="str">
        <f>HYPERLINK("#'Input - Freight'!A1", "Freight")</f>
        <v>Freight</v>
      </c>
      <c r="D18" s="113" t="str">
        <v>SC</v>
      </c>
      <c r="E18" s="122" t="str">
        <v>Stationary combustion</v>
      </c>
      <c r="F18" s="123"/>
      <c r="G18" s="113" t="str">
        <v/>
      </c>
      <c r="H18" s="115" t="str">
        <v>Constant</v>
      </c>
      <c r="I18" s="116"/>
      <c r="J18" s="154"/>
      <c r="K18" s="113" t="str">
        <v>m</v>
      </c>
      <c r="L18" s="122" t="str">
        <v>metropolitan/non-metropolitan location</v>
      </c>
      <c r="M18" s="123"/>
      <c r="N18" s="113" t="str">
        <v/>
      </c>
      <c r="O18" s="114" t="str">
        <v>Input</v>
      </c>
      <c r="P18" s="113" t="str">
        <f>X_Cell_Fuel_IsMetroLocation</f>
        <v>Metro</v>
      </c>
      <c r="Q18" s="154"/>
    </row>
    <row r="19" spans="1:17" ht="20.100000000000001" customHeight="1" x14ac:dyDescent="0.2">
      <c r="A19" s="5" t="str">
        <f>HYPERLINK("#'Input - Solid waste'!A1", "Solid waste")</f>
        <v>Solid waste</v>
      </c>
      <c r="D19" s="113" t="str">
        <v>g</v>
      </c>
      <c r="E19" s="122" t="str">
        <v>Greenhouse gas</v>
      </c>
      <c r="F19" s="123"/>
      <c r="G19" s="113" t="str">
        <v/>
      </c>
      <c r="H19" s="115" t="str">
        <v>Constant</v>
      </c>
      <c r="I19" s="116"/>
      <c r="J19" s="154"/>
      <c r="L19" s="154"/>
      <c r="N19" s="154"/>
      <c r="O19" s="154"/>
      <c r="P19" s="154"/>
      <c r="Q19" s="154"/>
    </row>
    <row r="20" spans="1:17" ht="20.100000000000001" customHeight="1" x14ac:dyDescent="0.2">
      <c r="A20" s="5" t="str">
        <f>HYPERLINK("#'Input - Manure sent off-site'!A1", "Manure sent off-site")</f>
        <v>Manure sent off-site</v>
      </c>
      <c r="D20" s="113" t="str">
        <v>1</v>
      </c>
      <c r="E20" s="122" t="str">
        <v>Scope 1</v>
      </c>
      <c r="F20" s="123"/>
      <c r="G20" s="113" t="str">
        <v/>
      </c>
      <c r="H20" s="115" t="str">
        <v>Constant</v>
      </c>
      <c r="I20" s="116"/>
      <c r="J20" s="154"/>
      <c r="L20" s="154"/>
      <c r="N20" s="154"/>
      <c r="O20" s="154"/>
      <c r="P20" s="154"/>
      <c r="Q20" s="154"/>
    </row>
    <row r="21" spans="1:17" ht="20.100000000000001" customHeight="1" x14ac:dyDescent="0.2">
      <c r="A21" s="5" t="str">
        <f>HYPERLINK("#'Input - Data quality'!A1", "Data quality")</f>
        <v>Data quality</v>
      </c>
      <c r="O21" s="154"/>
      <c r="P21" s="154"/>
      <c r="Q21" s="154"/>
    </row>
    <row r="22" spans="1:17" ht="20.100000000000001" customHeight="1" x14ac:dyDescent="0.2">
      <c r="A22" s="5" t="str">
        <f>HYPERLINK("#'Input - Fert Prod System'!A1", "Fert Prod System")</f>
        <v>Fert Prod System</v>
      </c>
      <c r="D22" s="118" t="s">
        <v>608</v>
      </c>
    </row>
    <row r="23" spans="1:17" ht="20.100000000000001" customHeight="1" x14ac:dyDescent="0.2">
      <c r="A23" s="5" t="str">
        <f>HYPERLINK("#'Input - Fertiliser'!A1", "Fertiliser")</f>
        <v>Fertiliser</v>
      </c>
      <c r="D23" s="119" t="s">
        <v>629</v>
      </c>
    </row>
    <row r="24" spans="1:17" ht="20.100000000000001" customHeight="1" x14ac:dyDescent="0.2">
      <c r="D24" s="120" t="s">
        <v>610</v>
      </c>
      <c r="E24" s="120" t="s">
        <v>611</v>
      </c>
      <c r="F24" s="120" t="s">
        <v>612</v>
      </c>
      <c r="G24" s="120" t="s">
        <v>630</v>
      </c>
      <c r="H24" s="120" t="s">
        <v>631</v>
      </c>
      <c r="I24" s="120" t="s">
        <v>632</v>
      </c>
      <c r="J24" s="120" t="s">
        <v>633</v>
      </c>
      <c r="K24" s="120" t="s">
        <v>634</v>
      </c>
      <c r="L24" s="78" t="s">
        <v>635</v>
      </c>
      <c r="M24" s="120" t="s">
        <v>619</v>
      </c>
      <c r="N24" s="120" t="s">
        <v>620</v>
      </c>
      <c r="O24" s="120" t="s">
        <v>621</v>
      </c>
      <c r="P24" s="120" t="s">
        <v>622</v>
      </c>
      <c r="Q24" s="120" t="s">
        <v>636</v>
      </c>
    </row>
    <row r="25" spans="1:17" ht="20.100000000000001" customHeight="1" x14ac:dyDescent="0.2">
      <c r="D25" s="24" t="str">
        <f>Table_FuelTypesPerUse[[#Headers],[Generators]]</f>
        <v>Generators</v>
      </c>
      <c r="E25" s="155" t="str">
        <f>'Constants - Fuel'!$D$58</f>
        <v>Automotive gasoline / petrol (other than for use as fuel in an aircraft)</v>
      </c>
      <c r="F25" s="155"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56" cm="1">
        <f t="array" ref="L25">Fuel_InputFunctions.Fuel_TotalConsumption(Table_Input_Fuel[Amount consumed], Table_Input_Fuel[Fuel use (select)], D25, Table_Input_Fuel[Fuel type (select)],F25)</f>
        <v>0</v>
      </c>
      <c r="M25" s="156" t="str" cm="1">
        <f t="array" ref="M25">Common_InputFunctions.Utility_LookupValueInTable(F25,Table_FuelTypes_Units[Fuel type],Table_FuelTypes_Units[Unit])</f>
        <v>kL</v>
      </c>
      <c r="N25" s="178" cm="1">
        <f t="array" ref="N25">Fuel_Equations.VEERG_8_2_1_1__1_FuelCombustionStationary($L25,$G25,H25)</f>
        <v>0</v>
      </c>
      <c r="O25" s="178" cm="1">
        <f t="array" ref="O25">Fuel_Equations.VEERG_8_2_1_1__1_FuelCombustionStationary($L25,$G25,I25)</f>
        <v>0</v>
      </c>
      <c r="P25" s="178" cm="1">
        <f t="array" ref="P25">Fuel_Equations.VEERG_8_2_1_1__1_FuelCombustionStationary($L25,$G25,J25)</f>
        <v>0</v>
      </c>
      <c r="Q25" s="178" cm="1">
        <f t="array" ref="Q25">Fuel_Equations.VEERG_8_2_1_1__1_FuelCombustionStationary($L25,$G25,IF(ISNUMBER(K25), K25, 0))</f>
        <v>0</v>
      </c>
    </row>
    <row r="26" spans="1:17" ht="20.100000000000001" customHeight="1" x14ac:dyDescent="0.2">
      <c r="A26" s="6" t="s">
        <v>2</v>
      </c>
      <c r="D26" s="158" t="str">
        <f t="shared" ref="D26:D31" si="0">$D$25</f>
        <v>Generators</v>
      </c>
      <c r="E26" s="155" t="str">
        <f>'Constants - Fuel'!$D$63</f>
        <v>Diesel oil</v>
      </c>
      <c r="F26" s="155"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56" cm="1">
        <f t="array" ref="L26">Fuel_InputFunctions.Fuel_TotalConsumption(Table_Input_Fuel[Amount consumed], Table_Input_Fuel[Fuel use (select)], D26, Table_Input_Fuel[Fuel type (select)],F26)</f>
        <v>0</v>
      </c>
      <c r="M26" s="156" t="str" cm="1">
        <f t="array" ref="M26">Common_InputFunctions.Utility_LookupValueInTable(F26,Table_FuelTypes_Units[Fuel type],Table_FuelTypes_Units[Unit])</f>
        <v>kL</v>
      </c>
      <c r="N26" s="178" cm="1">
        <f t="array" ref="N26">Fuel_Equations.VEERG_8_2_1_1__1_FuelCombustionStationary($L26,$G26,H26)</f>
        <v>0</v>
      </c>
      <c r="O26" s="178" cm="1">
        <f t="array" ref="O26">Fuel_Equations.VEERG_8_2_1_1__1_FuelCombustionStationary($L26,$G26,I26)</f>
        <v>0</v>
      </c>
      <c r="P26" s="178" cm="1">
        <f t="array" ref="P26">Fuel_Equations.VEERG_8_2_1_1__1_FuelCombustionStationary($L26,$G26,J26)</f>
        <v>0</v>
      </c>
      <c r="Q26" s="178" cm="1">
        <f t="array" ref="Q26">Fuel_Equations.VEERG_8_2_1_1__1_FuelCombustionStationary($L26,$G26,IF(ISNUMBER(K26), K26, 0))</f>
        <v>0</v>
      </c>
    </row>
    <row r="27" spans="1:17" ht="20.100000000000001" customHeight="1" x14ac:dyDescent="0.2">
      <c r="A27" s="5" t="str">
        <f>HYPERLINK("#'4.6.1.1-2 Methane'!A1", "4.6.1.1-2 Manure Methane")</f>
        <v>4.6.1.1-2 Manure Methane</v>
      </c>
      <c r="D27" s="158" t="str">
        <f t="shared" si="0"/>
        <v>Generators</v>
      </c>
      <c r="E27" s="155" t="str">
        <f>'Constants - Fuel'!$D$67</f>
        <v>Liquefied petroleum gas (LPG)</v>
      </c>
      <c r="F27" s="155"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56" cm="1">
        <f t="array" ref="L27">Fuel_InputFunctions.Fuel_TotalConsumption(Table_Input_Fuel[Amount consumed], Table_Input_Fuel[Fuel use (select)], D27, Table_Input_Fuel[Fuel type (select)],F27)</f>
        <v>0</v>
      </c>
      <c r="M27" s="156" t="str" cm="1">
        <f t="array" ref="M27">Common_InputFunctions.Utility_LookupValueInTable(F27,Table_FuelTypes_Units[Fuel type],Table_FuelTypes_Units[Unit])</f>
        <v>kL</v>
      </c>
      <c r="N27" s="178" cm="1">
        <f t="array" ref="N27">Fuel_Equations.VEERG_8_2_1_1__1_FuelCombustionStationary($L27,$G27,H27)</f>
        <v>0</v>
      </c>
      <c r="O27" s="178" cm="1">
        <f t="array" ref="O27">Fuel_Equations.VEERG_8_2_1_1__1_FuelCombustionStationary($L27,$G27,I27)</f>
        <v>0</v>
      </c>
      <c r="P27" s="178" cm="1">
        <f t="array" ref="P27">Fuel_Equations.VEERG_8_2_1_1__1_FuelCombustionStationary($L27,$G27,J27)</f>
        <v>0</v>
      </c>
      <c r="Q27" s="178" cm="1">
        <f t="array" ref="Q27">Fuel_Equations.VEERG_8_2_1_1__1_FuelCombustionStationary($L27,$G27,IF(ISNUMBER(K27), K27, 0))</f>
        <v>0</v>
      </c>
    </row>
    <row r="28" spans="1:17" ht="20.100000000000001" customHeight="1" x14ac:dyDescent="0.2">
      <c r="A28" s="5" t="str">
        <f>HYPERLINK("#'4.6.1.3-4 Direct N20'!A1", "4.6.1.3-4 Manure Direct N2O")</f>
        <v>4.6.1.3-4 Manure Direct N2O</v>
      </c>
      <c r="D28" s="158" t="str">
        <f t="shared" si="0"/>
        <v>Generators</v>
      </c>
      <c r="E28" s="155" t="str">
        <f>'Constants - Fuel'!$D$73</f>
        <v>Biodiesel</v>
      </c>
      <c r="F28" s="155"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56" cm="1">
        <f t="array" ref="L28">Fuel_InputFunctions.Fuel_TotalConsumption(Table_Input_Fuel[Amount consumed], Table_Input_Fuel[Fuel use (select)], D28, Table_Input_Fuel[Fuel type (select)],F28)</f>
        <v>0</v>
      </c>
      <c r="M28" s="156" t="str" cm="1">
        <f t="array" ref="M28">Common_InputFunctions.Utility_LookupValueInTable(F28,Table_FuelTypes_Units[Fuel type],Table_FuelTypes_Units[Unit])</f>
        <v>kL</v>
      </c>
      <c r="N28" s="178" cm="1">
        <f t="array" ref="N28">Fuel_Equations.VEERG_8_2_1_1__1_FuelCombustionStationary($L28,$G28,H28)</f>
        <v>0</v>
      </c>
      <c r="O28" s="178" cm="1">
        <f t="array" ref="O28">Fuel_Equations.VEERG_8_2_1_1__1_FuelCombustionStationary($L28,$G28,I28)</f>
        <v>0</v>
      </c>
      <c r="P28" s="178" cm="1">
        <f t="array" ref="P28">Fuel_Equations.VEERG_8_2_1_1__1_FuelCombustionStationary($L28,$G28,J28)</f>
        <v>0</v>
      </c>
      <c r="Q28" s="178" cm="1">
        <f t="array" ref="Q28">Fuel_Equations.VEERG_8_2_1_1__1_FuelCombustionStationary($L28,$G28,IF(ISNUMBER(K28), K28, 0))</f>
        <v>0</v>
      </c>
    </row>
    <row r="29" spans="1:17" ht="20.100000000000001" customHeight="1" x14ac:dyDescent="0.2">
      <c r="A29" s="5" t="str">
        <f>HYPERLINK("#'4.6.1.5-6 Atmos Dep'!A1", "4.6.1.5-6 Manure Atmos Dep")</f>
        <v>4.6.1.5-6 Manure Atmos Dep</v>
      </c>
      <c r="D29" s="158" t="str">
        <f t="shared" si="0"/>
        <v>Generators</v>
      </c>
      <c r="E29" s="155" t="str">
        <f>'Constants - Fuel'!$D$74</f>
        <v>Ethanol for use as a fuel in an internal combustion engine</v>
      </c>
      <c r="F29" s="155"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56" cm="1">
        <f t="array" ref="L29">Fuel_InputFunctions.Fuel_TotalConsumption(Table_Input_Fuel[Amount consumed], Table_Input_Fuel[Fuel use (select)], D29, Table_Input_Fuel[Fuel type (select)],F29)</f>
        <v>0</v>
      </c>
      <c r="M29" s="156" t="str" cm="1">
        <f t="array" ref="M29">Common_InputFunctions.Utility_LookupValueInTable(F29,Table_FuelTypes_Units[Fuel type],Table_FuelTypes_Units[Unit])</f>
        <v>kL</v>
      </c>
      <c r="N29" s="178" cm="1">
        <f t="array" ref="N29">Fuel_Equations.VEERG_8_2_1_1__1_FuelCombustionStationary($L29,$G29,H29)</f>
        <v>0</v>
      </c>
      <c r="O29" s="178" cm="1">
        <f t="array" ref="O29">Fuel_Equations.VEERG_8_2_1_1__1_FuelCombustionStationary($L29,$G29,I29)</f>
        <v>0</v>
      </c>
      <c r="P29" s="178" cm="1">
        <f t="array" ref="P29">Fuel_Equations.VEERG_8_2_1_1__1_FuelCombustionStationary($L29,$G29,J29)</f>
        <v>0</v>
      </c>
      <c r="Q29" s="178" cm="1">
        <f t="array" ref="Q29">Fuel_Equations.VEERG_8_2_1_1__1_FuelCombustionStationary($L29,$G29,IF(ISNUMBER(K29), K29, 0))</f>
        <v>0</v>
      </c>
    </row>
    <row r="30" spans="1:17" ht="20.100000000000001" customHeight="1" x14ac:dyDescent="0.2">
      <c r="A30" s="5" t="str">
        <f>HYPERLINK("#'4.6.1.7-8 Leaching and runoff'!A1", "4.6.1.7-8 Manure Leaching and runoff")</f>
        <v>4.6.1.7-8 Manure Leaching and runoff</v>
      </c>
      <c r="D30" s="158" t="str">
        <f t="shared" si="0"/>
        <v>Generators</v>
      </c>
      <c r="E30" s="155" t="str">
        <f>'Constants - Fuel'!$D$75</f>
        <v>Biofuels other than those mentioned in the items above and below</v>
      </c>
      <c r="F30" s="155"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56" cm="1">
        <f t="array" ref="L30">Fuel_InputFunctions.Fuel_TotalConsumption(Table_Input_Fuel[Amount consumed], Table_Input_Fuel[Fuel use (select)], D30, Table_Input_Fuel[Fuel type (select)],F30)</f>
        <v>0</v>
      </c>
      <c r="M30" s="156" t="str" cm="1">
        <f t="array" ref="M30">Common_InputFunctions.Utility_LookupValueInTable(F30,Table_FuelTypes_Units[Fuel type],Table_FuelTypes_Units[Unit])</f>
        <v>kL</v>
      </c>
      <c r="N30" s="178" cm="1">
        <f t="array" ref="N30">Fuel_Equations.VEERG_8_2_1_1__1_FuelCombustionStationary($L30,$G30,H30)</f>
        <v>0</v>
      </c>
      <c r="O30" s="178" cm="1">
        <f t="array" ref="O30">Fuel_Equations.VEERG_8_2_1_1__1_FuelCombustionStationary($L30,$G30,I30)</f>
        <v>0</v>
      </c>
      <c r="P30" s="178" cm="1">
        <f t="array" ref="P30">Fuel_Equations.VEERG_8_2_1_1__1_FuelCombustionStationary($L30,$G30,J30)</f>
        <v>0</v>
      </c>
      <c r="Q30" s="178" cm="1">
        <f t="array" ref="Q30">Fuel_Equations.VEERG_8_2_1_1__1_FuelCombustionStationary($L30,$G30,IF(ISNUMBER(K30), K30, 0))</f>
        <v>0</v>
      </c>
    </row>
    <row r="31" spans="1:17" ht="20.100000000000001" customHeight="1" x14ac:dyDescent="0.2">
      <c r="A31" s="5" t="str">
        <f>HYPERLINK("#'4.6.1.9 Manure applied to soils'!A1", "4.6.1.9 Manure applied to soils")</f>
        <v>4.6.1.9 Manure applied to soils</v>
      </c>
      <c r="D31" s="158" t="str">
        <f t="shared" si="0"/>
        <v>Generators</v>
      </c>
      <c r="E31" s="155" t="str">
        <f>'Constants - Fuel'!$D$77</f>
        <v>Renewable diesel</v>
      </c>
      <c r="F31" s="155" t="str">
        <f>'Constants - Fuel'!D137</f>
        <v>Renewable diesel</v>
      </c>
      <c r="G31" s="152">
        <f>IFERROR(_xlfn.XLOOKUP($E31, Table_Fuel_EFs_StationaryLiquid[Fuel combusted], Table_Fuel_EFs_StationaryLiquid[Energy Content Factor (GJ per unit of fuel)]),0)</f>
        <v>38.6</v>
      </c>
      <c r="H31" s="152">
        <f>IFERROR(_xlfn.XLOOKUP($E31, Table_Fuel_EFs_StationaryLiquid[Fuel combusted], Table_Fuel_EFs_StationaryLiquid[Scope 1 Emission Factor (kg CO2 - e / GJ) CO2]),0)</f>
        <v>0</v>
      </c>
      <c r="I31" s="152">
        <f>IFERROR(_xlfn.XLOOKUP($E31, Table_Fuel_EFs_StationaryLiquid[Fuel combusted], Table_Fuel_EFs_StationaryLiquid[Scope 1 Emission Factor (kg CO2 - e / GJ) CH4]),0)</f>
        <v>0.1</v>
      </c>
      <c r="J31" s="152">
        <f>IFERROR(_xlfn.XLOOKUP($E31, Table_Fuel_EFs_StationaryLiquid[Fuel combusted], Table_Fuel_EFs_StationaryLiquid[Scope 1 Emission Factor (kg CO2 - e / GJ) N2O]),0)</f>
        <v>0.2</v>
      </c>
      <c r="K31" s="152" t="str">
        <f>IFERROR(_xlfn.XLOOKUP($E31, Table_Fuel_EFs_StationaryLiquid[Fuel combusted], Table_Fuel_EFs_StationaryLiquid[Scope 3 Emission Factor (kg CO2 - e / GJ)]),0)</f>
        <v>NE</v>
      </c>
      <c r="L31" s="159" cm="1">
        <f t="array" ref="L31">Fuel_InputFunctions.Fuel_TotalConsumption(Table_Input_Fuel[Amount consumed], Table_Input_Fuel[Fuel use (select)], D31, Table_Input_Fuel[Fuel type (select)],F31)</f>
        <v>0</v>
      </c>
      <c r="M31" s="159" t="str" cm="1">
        <f t="array" ref="M31">Common_InputFunctions.Utility_LookupValueInTable(F31,Table_FuelTypes_Units[Fuel type],Table_FuelTypes_Units[Unit])</f>
        <v>kL</v>
      </c>
      <c r="N31" s="179" cm="1">
        <f t="array" ref="N31">Fuel_Equations.VEERG_8_2_1_1__1_FuelCombustionStationary($L31,$G31,H31)</f>
        <v>0</v>
      </c>
      <c r="O31" s="179" cm="1">
        <f t="array" ref="O31">Fuel_Equations.VEERG_8_2_1_1__1_FuelCombustionStationary($L31,$G31,I31)</f>
        <v>0</v>
      </c>
      <c r="P31" s="179" cm="1">
        <f t="array" ref="P31">Fuel_Equations.VEERG_8_2_1_1__1_FuelCombustionStationary($L31,$G31,J31)</f>
        <v>0</v>
      </c>
      <c r="Q31" s="179" cm="1">
        <f t="array" ref="Q31">Fuel_Equations.VEERG_8_2_1_1__1_FuelCombustionStationary($L31,$G31,IF(ISNUMBER(K31), K31, 0))</f>
        <v>0</v>
      </c>
    </row>
    <row r="32" spans="1:17" ht="20.100000000000001" customHeight="1" x14ac:dyDescent="0.2">
      <c r="A32" s="5" t="str">
        <f>HYPERLINK("#'4.6.1.10-11 Soil direct N2O'!A1", "4.6.1.10-11 Soil direct N2O")</f>
        <v>4.6.1.10-11 Soil direct N2O</v>
      </c>
      <c r="D32" s="161" t="str">
        <f>Table_FuelTypesPerUse[[#Headers],[Power standalone machinery or heating]]</f>
        <v>Power standalone machinery or heating</v>
      </c>
      <c r="E32" s="162" t="str">
        <f>'Constants - Fuel'!$D$58</f>
        <v>Automotive gasoline / petrol (other than for use as fuel in an aircraft)</v>
      </c>
      <c r="F32" s="162" t="str">
        <f>'Constants - Fuel'!E131</f>
        <v>Petrol</v>
      </c>
      <c r="G32" s="169">
        <f>IFERROR(_xlfn.XLOOKUP($E32, Table_Fuel_EFs_StationaryLiquid[Fuel combusted], Table_Fuel_EFs_StationaryLiquid[Energy Content Factor (GJ per unit of fuel)]),0)</f>
        <v>34.200000000000003</v>
      </c>
      <c r="H32" s="169">
        <f>IFERROR(_xlfn.XLOOKUP($E32, Table_Fuel_EFs_StationaryLiquid[Fuel combusted], Table_Fuel_EFs_StationaryLiquid[Scope 1 Emission Factor (kg CO2 - e / GJ) CO2]),0)</f>
        <v>67.400000000000006</v>
      </c>
      <c r="I32" s="169">
        <f>IFERROR(_xlfn.XLOOKUP($E32, Table_Fuel_EFs_StationaryLiquid[Fuel combusted], Table_Fuel_EFs_StationaryLiquid[Scope 1 Emission Factor (kg CO2 - e / GJ) CH4]),0)</f>
        <v>0.2</v>
      </c>
      <c r="J32" s="169">
        <f>IFERROR(_xlfn.XLOOKUP($E32, Table_Fuel_EFs_StationaryLiquid[Fuel combusted], Table_Fuel_EFs_StationaryLiquid[Scope 1 Emission Factor (kg CO2 - e / GJ) N2O]),0)</f>
        <v>0.2</v>
      </c>
      <c r="K32" s="169">
        <f>IFERROR(_xlfn.XLOOKUP($E32, Table_Fuel_EFs_StationaryLiquid[Fuel combusted], Table_Fuel_EFs_StationaryLiquid[Scope 3 Emission Factor (kg CO2 - e / GJ)]),0)</f>
        <v>17.2</v>
      </c>
      <c r="L32" s="165" cm="1">
        <f t="array" ref="L32">Fuel_InputFunctions.Fuel_TotalConsumption(Table_Input_Fuel[Amount consumed], Table_Input_Fuel[Fuel use (select)], D32, Table_Input_Fuel[Fuel type (select)],F32)</f>
        <v>10</v>
      </c>
      <c r="M32" s="166" t="str" cm="1">
        <f t="array" ref="M32">Common_InputFunctions.Utility_LookupValueInTable(F32,Table_FuelTypes_Units[Fuel type],Table_FuelTypes_Units[Unit])</f>
        <v>kL</v>
      </c>
      <c r="N32" s="180" cm="1">
        <f t="array" ref="N32">Fuel_Equations.VEERG_8_2_1_1__1_FuelCombustionStationary($L32,$G32,H32)</f>
        <v>23.050800000000002</v>
      </c>
      <c r="O32" s="180" cm="1">
        <f t="array" ref="O32">Fuel_Equations.VEERG_8_2_1_1__1_FuelCombustionStationary($L32,$G32,I32)</f>
        <v>6.8400000000000002E-2</v>
      </c>
      <c r="P32" s="180" cm="1">
        <f t="array" ref="P32">Fuel_Equations.VEERG_8_2_1_1__1_FuelCombustionStationary($L32,$G32,J32)</f>
        <v>6.8400000000000002E-2</v>
      </c>
      <c r="Q32" s="180" cm="1">
        <f t="array" ref="Q32">Fuel_Equations.VEERG_8_2_1_1__1_FuelCombustionStationary($L32,$G32,IF(ISNUMBER(K32), K32, 0))</f>
        <v>5.8823999999999996</v>
      </c>
    </row>
    <row r="33" spans="1:17" ht="20.100000000000001" customHeight="1" x14ac:dyDescent="0.2">
      <c r="A33" s="5" t="str">
        <f>HYPERLINK("#'4.6.1.12-13 Soil atmos dep'!A1", "4.6.1.12-13 Soil atmos dep")</f>
        <v>4.6.1.12-13 Soil atmos dep</v>
      </c>
      <c r="D33" s="158" t="str">
        <f t="shared" ref="D33:D40" si="1">$D$32</f>
        <v>Power standalone machinery or heating</v>
      </c>
      <c r="E33" s="155" t="str">
        <f>'Constants - Fuel'!$D$63</f>
        <v>Diesel oil</v>
      </c>
      <c r="F33" s="155"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178" cm="1">
        <f t="array" ref="N33">Fuel_Equations.VEERG_8_2_1_1__1_FuelCombustionStationary($L33,$G33,H33)</f>
        <v>0</v>
      </c>
      <c r="O33" s="178" cm="1">
        <f t="array" ref="O33">Fuel_Equations.VEERG_8_2_1_1__1_FuelCombustionStationary($L33,$G33,I33)</f>
        <v>0</v>
      </c>
      <c r="P33" s="178" cm="1">
        <f t="array" ref="P33">Fuel_Equations.VEERG_8_2_1_1__1_FuelCombustionStationary($L33,$G33,J33)</f>
        <v>0</v>
      </c>
      <c r="Q33" s="178" cm="1">
        <f t="array" ref="Q33">Fuel_Equations.VEERG_8_2_1_1__1_FuelCombustionStationary($L33,$G33,IF(ISNUMBER(K33), K33, 0))</f>
        <v>0</v>
      </c>
    </row>
    <row r="34" spans="1:17" ht="20.100000000000001" customHeight="1" x14ac:dyDescent="0.2">
      <c r="A34" s="5" t="str">
        <f>HYPERLINK("#'4.6.1.14-15 Soil leach runoff'!A1", "4.6.1.14-15 Soil leach runoff")</f>
        <v>4.6.1.14-15 Soil leach runoff</v>
      </c>
      <c r="D34" s="158" t="str">
        <f t="shared" si="1"/>
        <v>Power standalone machinery or heating</v>
      </c>
      <c r="E34" s="155" t="str">
        <f>'Constants - Fuel'!$D$67</f>
        <v>Liquefied petroleum gas (LPG)</v>
      </c>
      <c r="F34" s="155"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178" cm="1">
        <f t="array" ref="N34">Fuel_Equations.VEERG_8_2_1_1__1_FuelCombustionStationary($L34,$G34,H34)</f>
        <v>0</v>
      </c>
      <c r="O34" s="178" cm="1">
        <f t="array" ref="O34">Fuel_Equations.VEERG_8_2_1_1__1_FuelCombustionStationary($L34,$G34,I34)</f>
        <v>0</v>
      </c>
      <c r="P34" s="178" cm="1">
        <f t="array" ref="P34">Fuel_Equations.VEERG_8_2_1_1__1_FuelCombustionStationary($L34,$G34,J34)</f>
        <v>0</v>
      </c>
      <c r="Q34" s="178" cm="1">
        <f t="array" ref="Q34">Fuel_Equations.VEERG_8_2_1_1__1_FuelCombustionStationary($L34,$G34,IF(ISNUMBER(K34), K34, 0))</f>
        <v>0</v>
      </c>
    </row>
    <row r="35" spans="1:17" ht="20.100000000000001" customHeight="1" x14ac:dyDescent="0.2">
      <c r="A35" s="5" t="str">
        <f>HYPERLINK("#'8.1.1.1-2 Transport fuel'!A1", "8.1.1.1-2 Transport fuel")</f>
        <v>8.1.1.1-2 Transport fuel</v>
      </c>
      <c r="D35" s="158" t="str">
        <f t="shared" si="1"/>
        <v>Power standalone machinery or heating</v>
      </c>
      <c r="E35" s="155" t="str">
        <f>'Constants - Fuel'!$D$73</f>
        <v>Biodiesel</v>
      </c>
      <c r="F35" s="155"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178" cm="1">
        <f t="array" ref="N35">Fuel_Equations.VEERG_8_2_1_1__1_FuelCombustionStationary($L35,$G35,H35)</f>
        <v>0</v>
      </c>
      <c r="O35" s="178" cm="1">
        <f t="array" ref="O35">Fuel_Equations.VEERG_8_2_1_1__1_FuelCombustionStationary($L35,$G35,I35)</f>
        <v>0</v>
      </c>
      <c r="P35" s="178" cm="1">
        <f t="array" ref="P35">Fuel_Equations.VEERG_8_2_1_1__1_FuelCombustionStationary($L35,$G35,J35)</f>
        <v>0</v>
      </c>
      <c r="Q35" s="178" cm="1">
        <f t="array" ref="Q35">Fuel_Equations.VEERG_8_2_1_1__1_FuelCombustionStationary($L35,$G35,IF(ISNUMBER(K35), K35, 0))</f>
        <v>0</v>
      </c>
    </row>
    <row r="36" spans="1:17" ht="20.100000000000001" customHeight="1" x14ac:dyDescent="0.2">
      <c r="A36" s="117" t="str">
        <f>HYPERLINK("#'8.2.1.1-2 Stationary fuel'!A1", "8.2.1.1-2 Stationary fuel")</f>
        <v>8.2.1.1-2 Stationary fuel</v>
      </c>
      <c r="D36" s="158" t="str">
        <f t="shared" si="1"/>
        <v>Power standalone machinery or heating</v>
      </c>
      <c r="E36" s="155" t="str">
        <f>'Constants - Fuel'!$D$74</f>
        <v>Ethanol for use as a fuel in an internal combustion engine</v>
      </c>
      <c r="F36" s="155"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178" cm="1">
        <f t="array" ref="N36">Fuel_Equations.VEERG_8_2_1_1__1_FuelCombustionStationary($L36,$G36,H36)</f>
        <v>0</v>
      </c>
      <c r="O36" s="178" cm="1">
        <f t="array" ref="O36">Fuel_Equations.VEERG_8_2_1_1__1_FuelCombustionStationary($L36,$G36,I36)</f>
        <v>0</v>
      </c>
      <c r="P36" s="178" cm="1">
        <f t="array" ref="P36">Fuel_Equations.VEERG_8_2_1_1__1_FuelCombustionStationary($L36,$G36,J36)</f>
        <v>0</v>
      </c>
      <c r="Q36" s="178" cm="1">
        <f t="array" ref="Q36">Fuel_Equations.VEERG_8_2_1_1__1_FuelCombustionStationary($L36,$G36,IF(ISNUMBER(K36), K36, 0))</f>
        <v>0</v>
      </c>
    </row>
    <row r="37" spans="1:17" ht="20.100000000000001" customHeight="1" x14ac:dyDescent="0.2">
      <c r="A37" s="5" t="str">
        <f>HYPERLINK("#'10.1.1-2 Solid waste treatment'!A1", "10.1.1.1-2 Solid waste")</f>
        <v>10.1.1.1-2 Solid waste</v>
      </c>
      <c r="D37" s="158" t="str">
        <f t="shared" si="1"/>
        <v>Power standalone machinery or heating</v>
      </c>
      <c r="E37" s="155" t="str">
        <f>'Constants - Fuel'!$D$75</f>
        <v>Biofuels other than those mentioned in the items above and below</v>
      </c>
      <c r="F37" s="155"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178" cm="1">
        <f t="array" ref="N37">Fuel_Equations.VEERG_8_2_1_1__1_FuelCombustionStationary($L37,$G37,H37)</f>
        <v>0</v>
      </c>
      <c r="O37" s="178" cm="1">
        <f t="array" ref="O37">Fuel_Equations.VEERG_8_2_1_1__1_FuelCombustionStationary($L37,$G37,I37)</f>
        <v>0</v>
      </c>
      <c r="P37" s="178" cm="1">
        <f t="array" ref="P37">Fuel_Equations.VEERG_8_2_1_1__1_FuelCombustionStationary($L37,$G37,J37)</f>
        <v>0</v>
      </c>
      <c r="Q37" s="178" cm="1">
        <f t="array" ref="Q37">Fuel_Equations.VEERG_8_2_1_1__1_FuelCombustionStationary($L37,$G37,IF(ISNUMBER(K37), K37, 0))</f>
        <v>0</v>
      </c>
    </row>
    <row r="38" spans="1:17" ht="20.100000000000001" customHeight="1" x14ac:dyDescent="0.2">
      <c r="A38" s="5" t="str">
        <f>HYPERLINK("#'14.1.1-2 Purchased electricity'!A1", "14.1.1-2 Purchased electricity")</f>
        <v>14.1.1-2 Purchased electricity</v>
      </c>
      <c r="D38" s="158" t="str">
        <f t="shared" si="1"/>
        <v>Power standalone machinery or heating</v>
      </c>
      <c r="E38" s="155" t="str">
        <f>'Constants - Fuel'!$D$77</f>
        <v>Renewable diesel</v>
      </c>
      <c r="F38" s="155"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178" cm="1">
        <f t="array" ref="N38">Fuel_Equations.VEERG_8_2_1_1__1_FuelCombustionStationary($L38,$G38,H38)</f>
        <v>0</v>
      </c>
      <c r="O38" s="178" cm="1">
        <f t="array" ref="O38">Fuel_Equations.VEERG_8_2_1_1__1_FuelCombustionStationary($L38,$G38,I38)</f>
        <v>0</v>
      </c>
      <c r="P38" s="178" cm="1">
        <f t="array" ref="P38">Fuel_Equations.VEERG_8_2_1_1__1_FuelCombustionStationary($L38,$G38,J38)</f>
        <v>0</v>
      </c>
      <c r="Q38" s="178" cm="1">
        <f t="array" ref="Q38">Fuel_Equations.VEERG_8_2_1_1__1_FuelCombustionStationary($L38,$G38,IF(ISNUMBER(K38), K38, 0))</f>
        <v>0</v>
      </c>
    </row>
    <row r="39" spans="1:17" ht="20.100000000000001" customHeight="1" x14ac:dyDescent="0.2">
      <c r="A39" s="5" t="str">
        <f>HYPERLINK("#'15 Scope 3'!A1", "15 Scope 3")</f>
        <v>15 Scope 3</v>
      </c>
      <c r="D39" s="158" t="str">
        <f t="shared" si="1"/>
        <v>Power standalone machinery or heating</v>
      </c>
      <c r="E39" s="155" t="str">
        <f>'Constants - Fuel'!$D$103</f>
        <v>Natural gas distributed in a pipeline - Gigajoules</v>
      </c>
      <c r="F39" s="155"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56" cm="1">
        <f t="array" ref="L39">Fuel_InputFunctions.Fuel_TotalConsumption(Table_Input_Fuel[Amount consumed], Table_Input_Fuel[Fuel use (select)], D39, Table_Input_Fuel[Fuel type (select)],F39)</f>
        <v>0</v>
      </c>
      <c r="M39" s="156" t="str" cm="1">
        <f t="array" ref="M39">Common_InputFunctions.Utility_LookupValueInTable(F39,Table_FuelTypes_Units[Fuel type],Table_FuelTypes_Units[Unit])</f>
        <v>GJ</v>
      </c>
      <c r="N39" s="178" cm="1">
        <f t="array" ref="N39">Fuel_Equations.VEERG_8_2_1_1__1_FuelCombustionStationary($L39,$G39,H39)</f>
        <v>0</v>
      </c>
      <c r="O39" s="178" cm="1">
        <f t="array" ref="O39">Fuel_Equations.VEERG_8_2_1_1__1_FuelCombustionStationary($L39,$G39,I39)</f>
        <v>0</v>
      </c>
      <c r="P39" s="178" cm="1">
        <f t="array" ref="P39">Fuel_Equations.VEERG_8_2_1_1__1_FuelCombustionStationary($L39,$G39,J39)</f>
        <v>0</v>
      </c>
      <c r="Q39" s="178" cm="1">
        <f t="array" ref="Q39">Fuel_Equations.VEERG_8_2_1_1__1_FuelCombustionStationary($L39,$G39,IF(ISNUMBER(K39), K39, 0))</f>
        <v>0</v>
      </c>
    </row>
    <row r="40" spans="1:17" ht="20.100000000000001" customHeight="1" x14ac:dyDescent="0.2">
      <c r="A40" s="5" t="str">
        <f>HYPERLINK("#'Calcs - Manure sent off-site'!A1", "Calcs - Manure sent off-site")</f>
        <v>Calcs - Manure sent off-site</v>
      </c>
      <c r="D40" s="158" t="str">
        <f t="shared" si="1"/>
        <v>Power standalone machinery or heating</v>
      </c>
      <c r="E40" s="155" t="str">
        <f>'Constants - Fuel'!$D$104</f>
        <v>Town gas - Gigajoules</v>
      </c>
      <c r="F40" s="155"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56" cm="1">
        <f t="array" ref="L40">Fuel_InputFunctions.Fuel_TotalConsumption(Table_Input_Fuel[Amount consumed], Table_Input_Fuel[Fuel use (select)], D40, Table_Input_Fuel[Fuel type (select)],F40)</f>
        <v>100</v>
      </c>
      <c r="M40" s="156" t="str" cm="1">
        <f t="array" ref="M40">Common_InputFunctions.Utility_LookupValueInTable(F40,Table_FuelTypes_Units[Fuel type],Table_FuelTypes_Units[Unit])</f>
        <v>GJ</v>
      </c>
      <c r="N40" s="178" cm="1">
        <f t="array" ref="N40">Fuel_Equations.VEERG_8_2_1_1__1_FuelCombustionStationary($L40,$G40,H40)</f>
        <v>6.0200000000000005</v>
      </c>
      <c r="O40" s="178" cm="1">
        <f t="array" ref="O40">Fuel_Equations.VEERG_8_2_1_1__1_FuelCombustionStationary($L40,$G40,I40)</f>
        <v>4.0000000000000001E-3</v>
      </c>
      <c r="P40" s="178" cm="1">
        <f t="array" ref="P40">Fuel_Equations.VEERG_8_2_1_1__1_FuelCombustionStationary($L40,$G40,J40)</f>
        <v>3.0000000000000001E-3</v>
      </c>
      <c r="Q40" s="178" cm="1">
        <f t="array" ref="Q40">Fuel_Equations.VEERG_8_2_1_1__1_FuelCombustionStationary($L40,$G40,IF(ISNUMBER(K40), K40, 0))</f>
        <v>0.41</v>
      </c>
    </row>
    <row r="41" spans="1:17" ht="20.100000000000001" customHeight="1" x14ac:dyDescent="0.2">
      <c r="A41" s="5" t="str">
        <f>HYPERLINK("#'5.1.1.1-2 Inorganic fert N2O'!A1", "5.1.1.1-2 Inorganic fert N2O")</f>
        <v>5.1.1.1-2 Inorganic fert N2O</v>
      </c>
    </row>
    <row r="42" spans="1:17" ht="20.100000000000001" customHeight="1" x14ac:dyDescent="0.2">
      <c r="A42" s="5" t="str">
        <f>HYPERLINK("#'5.1.1.3-4 Inorganic fert CO2'!A1", "5.1.1.3-4 Inorganic fert CO2")</f>
        <v>5.1.1.3-4 Inorganic fert CO2</v>
      </c>
      <c r="D42" s="171" t="str">
        <f>"Total scope 1 - " &amp; D25</f>
        <v>Total scope 1 - Generators</v>
      </c>
      <c r="E42" s="172"/>
      <c r="F42" s="173"/>
    </row>
    <row r="43" spans="1:17" ht="20.100000000000001" customHeight="1" x14ac:dyDescent="0.2">
      <c r="A43" s="5" t="str">
        <f>HYPERLINK("#'5.2.1.1-2 Organic Fert N2O'!A1", "5.2.1.1-2 Organic Fert N2O")</f>
        <v>5.2.1.1-2 Organic Fert N2O</v>
      </c>
      <c r="D43" s="24" t="s">
        <v>624</v>
      </c>
      <c r="E43" s="174">
        <f>SUM(N25:N31)+N("Partial sum")</f>
        <v>0</v>
      </c>
      <c r="F43" s="16" t="str">
        <f>$E$12</f>
        <v>t CO2-e</v>
      </c>
    </row>
    <row r="44" spans="1:17" ht="20.100000000000001" customHeight="1" x14ac:dyDescent="0.2">
      <c r="A44" s="5" t="str">
        <f>HYPERLINK("#'5.3.1.1-2 Lime CO2'!A1", "5.3.1.1-2 Lime CO2")</f>
        <v>5.3.1.1-2 Lime CO2</v>
      </c>
      <c r="D44" s="24" t="s">
        <v>625</v>
      </c>
      <c r="E44" s="174">
        <f>SUM(O25:O31)+N("Partial sum")</f>
        <v>0</v>
      </c>
      <c r="F44" s="16" t="str">
        <f t="shared" ref="F44:F46" si="2">$E$12</f>
        <v>t CO2-e</v>
      </c>
    </row>
    <row r="45" spans="1:17" ht="20.100000000000001" customHeight="1" x14ac:dyDescent="0.2">
      <c r="A45" s="5" t="str">
        <f>HYPERLINK("#'5.4.1.1-4 Atmos deposition'!A1", "5.4.1.1-4 Atmos deposition")</f>
        <v>5.4.1.1-4 Atmos deposition</v>
      </c>
      <c r="D45" s="24" t="s">
        <v>626</v>
      </c>
      <c r="E45" s="174">
        <f>SUM(P25:P31)+N("Partial sum")</f>
        <v>0</v>
      </c>
      <c r="F45" s="16" t="str">
        <f t="shared" si="2"/>
        <v>t CO2-e</v>
      </c>
    </row>
    <row r="46" spans="1:17" ht="20.100000000000001" customHeight="1" x14ac:dyDescent="0.2">
      <c r="A46" s="5" t="str">
        <f>HYPERLINK("#'5.5.1.1-2 Leaching and runoff'!A1", "5.5.1.1-2 Leaching and runoff")</f>
        <v>5.5.1.1-2 Leaching and runoff</v>
      </c>
      <c r="D46" s="24" t="s">
        <v>239</v>
      </c>
      <c r="E46" s="174">
        <f>SUM(Q25:Q31)+N("Partial sum")</f>
        <v>0</v>
      </c>
      <c r="F46" s="16" t="str">
        <f t="shared" si="2"/>
        <v>t CO2-e</v>
      </c>
    </row>
    <row r="47" spans="1:17" ht="20.100000000000001" customHeight="1" x14ac:dyDescent="0.2">
      <c r="H47" s="154"/>
      <c r="I47" s="154"/>
      <c r="J47" s="154"/>
      <c r="L47" s="154"/>
      <c r="N47" s="154"/>
      <c r="O47" s="154"/>
      <c r="P47" s="154"/>
      <c r="Q47" s="154"/>
    </row>
    <row r="48" spans="1:17" ht="20.100000000000001" customHeight="1" x14ac:dyDescent="0.2">
      <c r="D48" s="171" t="str">
        <f>"Total scope 1 - " &amp; D32</f>
        <v>Total scope 1 - Power standalone machinery or heating</v>
      </c>
      <c r="E48" s="175"/>
      <c r="F48" s="173"/>
      <c r="H48" s="154"/>
      <c r="I48" s="154"/>
      <c r="J48" s="154"/>
      <c r="L48" s="154"/>
      <c r="N48" s="154"/>
      <c r="O48" s="154"/>
      <c r="P48" s="154"/>
      <c r="Q48" s="154"/>
    </row>
    <row r="49" spans="1:17" ht="20.100000000000001" customHeight="1" x14ac:dyDescent="0.2">
      <c r="A49" s="80" t="s">
        <v>1</v>
      </c>
      <c r="D49" s="24" t="s">
        <v>624</v>
      </c>
      <c r="E49" s="174">
        <f>SUM(N32:N40)+N("Partial sum")</f>
        <v>29.070800000000002</v>
      </c>
      <c r="F49" s="16" t="str">
        <f t="shared" ref="F49:F52" si="3">$E$12</f>
        <v>t CO2-e</v>
      </c>
      <c r="H49" s="154"/>
      <c r="I49" s="154"/>
      <c r="J49" s="154"/>
      <c r="L49" s="154"/>
      <c r="N49" s="154"/>
      <c r="O49" s="154"/>
      <c r="P49" s="154"/>
      <c r="Q49" s="154"/>
    </row>
    <row r="50" spans="1:17" ht="20.100000000000001" customHeight="1" x14ac:dyDescent="0.2">
      <c r="A50" s="5" t="str">
        <f>HYPERLINK("#'Constants - Poultry'!A1", "Constants - Poultry")</f>
        <v>Constants - Poultry</v>
      </c>
      <c r="D50" s="24" t="s">
        <v>625</v>
      </c>
      <c r="E50" s="174">
        <f>SUM(O32:O40)+N("Partial sum")</f>
        <v>7.2400000000000006E-2</v>
      </c>
      <c r="F50" s="16" t="str">
        <f t="shared" si="3"/>
        <v>t CO2-e</v>
      </c>
      <c r="H50" s="154"/>
      <c r="I50" s="154"/>
      <c r="J50" s="154"/>
      <c r="L50" s="154"/>
      <c r="N50" s="154"/>
      <c r="O50" s="154"/>
      <c r="P50" s="154"/>
      <c r="Q50" s="154"/>
    </row>
    <row r="51" spans="1:17" ht="20.100000000000001" customHeight="1" x14ac:dyDescent="0.2">
      <c r="A51" s="5" t="str">
        <f>HYPERLINK("#'Constants - Common livestock'!A1", "Constants - Common Livestock")</f>
        <v>Constants - Common Livestock</v>
      </c>
      <c r="D51" s="24" t="s">
        <v>626</v>
      </c>
      <c r="E51" s="174">
        <f>SUM(P32:P40)+N("Partial sum")</f>
        <v>7.1400000000000005E-2</v>
      </c>
      <c r="F51" s="16" t="str">
        <f t="shared" si="3"/>
        <v>t CO2-e</v>
      </c>
      <c r="H51" s="154"/>
      <c r="I51" s="154"/>
      <c r="J51" s="154"/>
      <c r="L51" s="154"/>
      <c r="N51" s="154"/>
      <c r="O51" s="154"/>
      <c r="P51" s="154"/>
      <c r="Q51" s="154"/>
    </row>
    <row r="52" spans="1:17" ht="20.100000000000001" customHeight="1" x14ac:dyDescent="0.2">
      <c r="A52" s="5" t="str">
        <f>HYPERLINK("#'Constants - Electricity'!A1", "Constants - Electricity")</f>
        <v>Constants - Electricity</v>
      </c>
      <c r="D52" s="24" t="s">
        <v>239</v>
      </c>
      <c r="E52" s="174">
        <f>SUM(Q32:Q40)+N("Partial sum")</f>
        <v>6.2923999999999998</v>
      </c>
      <c r="F52" s="16" t="str">
        <f t="shared" si="3"/>
        <v>t CO2-e</v>
      </c>
      <c r="G52" s="154"/>
      <c r="H52" s="154"/>
      <c r="I52" s="154"/>
      <c r="J52" s="154"/>
      <c r="L52" s="154"/>
      <c r="N52" s="154"/>
      <c r="O52" s="154"/>
      <c r="P52" s="154"/>
      <c r="Q52" s="154"/>
    </row>
    <row r="53" spans="1:17" ht="20.100000000000001" customHeight="1" x14ac:dyDescent="0.2">
      <c r="A53" s="5" t="str">
        <f>HYPERLINK("#'Constants - Fertiliser'!A1", "Constants - Fertiliser")</f>
        <v>Constants - Fertiliser</v>
      </c>
      <c r="G53" s="154"/>
      <c r="H53" s="154"/>
      <c r="I53" s="154"/>
      <c r="J53" s="154"/>
      <c r="L53" s="154"/>
      <c r="N53" s="154"/>
      <c r="O53" s="154"/>
      <c r="P53" s="154"/>
      <c r="Q53" s="154"/>
    </row>
    <row r="54" spans="1:17" ht="20.100000000000001" customHeight="1" x14ac:dyDescent="0.2">
      <c r="A54" s="5" t="str">
        <f>HYPERLINK("#'Constants - Fuel'!A1", "Constants - Fuel")</f>
        <v>Constants - Fuel</v>
      </c>
      <c r="D54" s="171" t="s">
        <v>637</v>
      </c>
      <c r="E54" s="175"/>
      <c r="F54" s="173"/>
      <c r="G54" s="154"/>
      <c r="H54" s="154"/>
      <c r="I54" s="154"/>
      <c r="J54" s="154"/>
      <c r="L54" s="154"/>
      <c r="N54" s="154"/>
      <c r="O54" s="154"/>
      <c r="P54" s="154"/>
      <c r="Q54" s="154"/>
    </row>
    <row r="55" spans="1:17" ht="20.100000000000001" customHeight="1" x14ac:dyDescent="0.2">
      <c r="A55" s="5" t="str">
        <f>HYPERLINK("#'Constants - Scope 3'!A1", "Constants - Scope 3")</f>
        <v>Constants - Scope 3</v>
      </c>
      <c r="D55" s="24" t="s">
        <v>624</v>
      </c>
      <c r="E55" s="174">
        <f>E43+E49</f>
        <v>29.070800000000002</v>
      </c>
      <c r="F55" s="16" t="str">
        <f t="shared" ref="F55:F58" si="4">$E$12</f>
        <v>t CO2-e</v>
      </c>
      <c r="G55" s="154"/>
      <c r="H55" s="154"/>
      <c r="I55" s="154"/>
      <c r="J55" s="154"/>
      <c r="L55" s="154"/>
      <c r="N55" s="154"/>
      <c r="O55" s="154"/>
      <c r="P55" s="154"/>
      <c r="Q55" s="154"/>
    </row>
    <row r="56" spans="1:17" ht="20.100000000000001" customHeight="1" x14ac:dyDescent="0.2">
      <c r="A56" s="5" t="str">
        <f>HYPERLINK("#'Constants - Solid Waste'!A1", "Constants - Solid Waste")</f>
        <v>Constants - Solid Waste</v>
      </c>
      <c r="D56" s="24" t="s">
        <v>625</v>
      </c>
      <c r="E56" s="174">
        <f>E44+E50</f>
        <v>7.2400000000000006E-2</v>
      </c>
      <c r="F56" s="16" t="str">
        <f t="shared" si="4"/>
        <v>t CO2-e</v>
      </c>
      <c r="H56" s="154"/>
    </row>
    <row r="57" spans="1:17" ht="20.100000000000001" customHeight="1" x14ac:dyDescent="0.2">
      <c r="A57" s="5" t="str">
        <f>HYPERLINK("#'Constants - Common'!A1", "Constants - Common")</f>
        <v>Constants - Common</v>
      </c>
      <c r="D57" s="24" t="s">
        <v>626</v>
      </c>
      <c r="E57" s="174">
        <f>E45+E51</f>
        <v>7.1400000000000005E-2</v>
      </c>
      <c r="F57" s="16" t="str">
        <f t="shared" si="4"/>
        <v>t CO2-e</v>
      </c>
      <c r="G57" s="154"/>
      <c r="H57" s="154"/>
      <c r="I57" s="154"/>
      <c r="J57" s="154"/>
      <c r="L57" s="154"/>
      <c r="N57" s="154"/>
      <c r="O57" s="154"/>
      <c r="P57" s="154"/>
      <c r="Q57" s="154"/>
    </row>
    <row r="58" spans="1:17" ht="20.100000000000001" customHeight="1" x14ac:dyDescent="0.2">
      <c r="D58" s="24" t="s">
        <v>239</v>
      </c>
      <c r="E58" s="174">
        <f>E46+E52</f>
        <v>6.2923999999999998</v>
      </c>
      <c r="F58" s="16" t="str">
        <f t="shared" si="4"/>
        <v>t CO2-e</v>
      </c>
      <c r="G58" s="154"/>
      <c r="H58" s="154"/>
      <c r="I58" s="154"/>
      <c r="J58" s="154"/>
      <c r="L58" s="154"/>
      <c r="N58" s="154"/>
      <c r="O58" s="154"/>
      <c r="P58" s="154"/>
      <c r="Q58" s="154"/>
    </row>
    <row r="59" spans="1:17" ht="20.100000000000001" customHeight="1" x14ac:dyDescent="0.2">
      <c r="G59" s="154"/>
      <c r="H59" s="154"/>
      <c r="I59" s="154"/>
      <c r="J59" s="154"/>
      <c r="L59" s="154"/>
      <c r="N59" s="154"/>
      <c r="O59" s="154"/>
      <c r="P59" s="154"/>
      <c r="Q59" s="154"/>
    </row>
    <row r="60" spans="1:17" ht="20.100000000000001" customHeight="1" x14ac:dyDescent="0.2">
      <c r="G60" s="154"/>
      <c r="H60" s="154"/>
      <c r="I60" s="154"/>
      <c r="J60" s="154"/>
      <c r="L60" s="154"/>
      <c r="N60" s="154"/>
      <c r="O60" s="154"/>
      <c r="P60" s="154"/>
      <c r="Q60" s="154"/>
    </row>
    <row r="61" spans="1:17" ht="20.100000000000001" customHeight="1" x14ac:dyDescent="0.2">
      <c r="G61" s="154"/>
      <c r="H61" s="154"/>
      <c r="I61" s="154"/>
      <c r="J61" s="154"/>
      <c r="L61" s="154"/>
      <c r="N61" s="154"/>
      <c r="O61" s="154"/>
      <c r="P61" s="154"/>
      <c r="Q61" s="154"/>
    </row>
    <row r="62" spans="1:17" ht="20.100000000000001" customHeight="1" x14ac:dyDescent="0.2">
      <c r="G62" s="154"/>
      <c r="H62" s="154"/>
      <c r="I62" s="154"/>
      <c r="J62" s="154"/>
      <c r="L62" s="154"/>
      <c r="N62" s="154"/>
      <c r="O62" s="154"/>
      <c r="P62" s="154"/>
      <c r="Q62" s="154"/>
    </row>
    <row r="63" spans="1:17" ht="20.100000000000001" customHeight="1" x14ac:dyDescent="0.2">
      <c r="G63" s="154"/>
      <c r="H63" s="154"/>
      <c r="I63" s="154"/>
      <c r="J63" s="154"/>
      <c r="L63" s="154"/>
      <c r="N63" s="154"/>
      <c r="O63" s="154"/>
      <c r="P63" s="154"/>
      <c r="Q63" s="154"/>
    </row>
    <row r="64" spans="1:17" ht="20.100000000000001" customHeight="1" x14ac:dyDescent="0.2">
      <c r="G64" s="154"/>
      <c r="H64" s="154"/>
      <c r="I64" s="154"/>
      <c r="J64" s="154"/>
      <c r="L64" s="154"/>
      <c r="N64" s="154"/>
      <c r="O64" s="154"/>
      <c r="P64" s="154"/>
      <c r="Q64" s="154"/>
    </row>
    <row r="65" spans="7:17" ht="20.100000000000001" customHeight="1" x14ac:dyDescent="0.2">
      <c r="G65" s="154"/>
      <c r="H65" s="154"/>
      <c r="I65" s="154"/>
      <c r="J65" s="154"/>
      <c r="L65" s="154"/>
      <c r="N65" s="154"/>
      <c r="O65" s="154"/>
      <c r="P65" s="154"/>
      <c r="Q65" s="154"/>
    </row>
    <row r="66" spans="7:17" ht="20.100000000000001" customHeight="1" x14ac:dyDescent="0.2">
      <c r="G66" s="154"/>
      <c r="H66" s="154"/>
      <c r="I66" s="154"/>
      <c r="J66" s="154"/>
      <c r="L66" s="154"/>
      <c r="N66" s="154"/>
      <c r="O66" s="154"/>
      <c r="P66" s="154"/>
      <c r="Q66" s="154"/>
    </row>
    <row r="67" spans="7:17" ht="20.100000000000001" customHeight="1" x14ac:dyDescent="0.2">
      <c r="G67" s="154"/>
    </row>
    <row r="68" spans="7:17" ht="20.100000000000001" customHeight="1" x14ac:dyDescent="0.2">
      <c r="G68" s="154"/>
    </row>
    <row r="69" spans="7:17" ht="20.100000000000001" customHeight="1" x14ac:dyDescent="0.2">
      <c r="G69" s="154"/>
    </row>
    <row r="70" spans="7:17" ht="20.100000000000001" customHeight="1" x14ac:dyDescent="0.2">
      <c r="G70" s="154"/>
    </row>
    <row r="71" spans="7:17" ht="20.100000000000001" customHeight="1" x14ac:dyDescent="0.2">
      <c r="G71" s="154"/>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15AC-42B6-432B-9E6A-13ADC3758EEA}">
  <sheetPr>
    <tabColor rgb="FF008000"/>
  </sheetPr>
  <dimension ref="A1:L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266</v>
      </c>
    </row>
    <row r="2" spans="1:12" s="3" customFormat="1" ht="20.100000000000001" customHeight="1" x14ac:dyDescent="0.2">
      <c r="A2"/>
    </row>
    <row r="3" spans="1:12" ht="20.100000000000001" customHeight="1" x14ac:dyDescent="0.2">
      <c r="A3" s="5" t="str">
        <f>HYPERLINK("#'Home'!A1", "Home")</f>
        <v>Home</v>
      </c>
      <c r="C3" s="22"/>
      <c r="D3" s="22" t="s">
        <v>130</v>
      </c>
      <c r="E3" s="22"/>
      <c r="F3" s="22"/>
      <c r="G3" s="22"/>
      <c r="H3" s="22"/>
      <c r="I3" s="22"/>
      <c r="J3" s="22"/>
      <c r="K3" s="22"/>
      <c r="L3" s="22"/>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
      <c r="D6" s="17" t="str" cm="1">
        <f t="array" ref="D6">WasteSolid_Equations.VEERG_10_1_1_1__2_MassOfWasteFromVolume_Source()</f>
        <v>VEERG 2026: 10.1.1.1, Equation (2)</v>
      </c>
    </row>
    <row r="7" spans="1:12" ht="20.100000000000001" customHeight="1" x14ac:dyDescent="0.2">
      <c r="D7" s="112" t="s">
        <v>328</v>
      </c>
      <c r="E7" s="112" t="str" cm="1">
        <f t="array" aca="1" ref="E7" ca="1">Common_InputFunctions.Utility_DisplayFunctionName(I21)</f>
        <v>=WasteSolid_Equations.VEERG_10_1_1_1__2_MassOfWasteFromVolume</v>
      </c>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5" t="s">
        <v>329</v>
      </c>
      <c r="E10" s="1" t="str" cm="1">
        <f t="array" ref="E10">WasteSolid_Equations.VEERG_10_1_1_1__2_MassOfWasteFromVolume_Variable()</f>
        <v>Q_wt</v>
      </c>
    </row>
    <row r="11" spans="1:12" ht="20.100000000000001" customHeight="1" x14ac:dyDescent="0.2">
      <c r="A11" s="5" t="str">
        <f>HYPERLINK("#'Input - Poultry'!A1", "Poultry")</f>
        <v>Poultry</v>
      </c>
      <c r="D11" s="75" t="s">
        <v>118</v>
      </c>
      <c r="E11" s="9" t="str" cm="1">
        <f t="array" ref="E11">WasteSolid_Equations.VEERG_10_1_1_1__2_MassOfWasteFromVolume_Unit()</f>
        <v>t</v>
      </c>
    </row>
    <row r="12" spans="1:12" ht="20.100000000000001" customHeight="1" x14ac:dyDescent="0.2">
      <c r="A12" s="5" t="str">
        <f>HYPERLINK("#'Input - Livestock sales'!A1", "Livestock sales")</f>
        <v>Livestock sales</v>
      </c>
    </row>
    <row r="13" spans="1:12" ht="20.100000000000001" customHeight="1" x14ac:dyDescent="0.2">
      <c r="A13" s="5" t="str">
        <f>HYPERLINK("#'Input - Poultry purchases'!A1", "Poultry purchases")</f>
        <v>Poultry purchases</v>
      </c>
      <c r="D13" s="113" t="str" cm="1">
        <f t="array" ref="D13:E16">_xlfn.CHOOSECOLS(WasteSolid_Equations.VEERG_10_1_1_1__2_MassOfWasteFromVolume_Arguments(),1,2)</f>
        <v>V_wt</v>
      </c>
      <c r="E13" s="122" t="str">
        <v>volume of solid waste type w being sent to treatment facility t</v>
      </c>
      <c r="F13" s="123"/>
      <c r="G13" s="113" t="str" cm="1">
        <f t="array" ref="G13:H16">_xlfn.CHOOSECOLS(WasteSolid_Equations.VEERG_10_1_1_1__2_MassOfWasteFromVolume_Arguments(),3,4)</f>
        <v>m3</v>
      </c>
      <c r="H13" s="114" t="str">
        <v>Input</v>
      </c>
      <c r="I13" s="116" t="str" cm="1">
        <f t="array" aca="1" ref="I13" ca="1">HYPERLINK(Common_InputFunctions.Utility_SourceHyperlink($D$18),$D$18)</f>
        <v>Table_V_w_t_onsite</v>
      </c>
      <c r="J13" s="116" t="str" cm="1">
        <f t="array" aca="1" ref="J13" ca="1">HYPERLINK(Common_InputFunctions.Utility_SourceHyperlink($D$56),$D$56)</f>
        <v>Table_V_w_t_offsite</v>
      </c>
    </row>
    <row r="14" spans="1:12" ht="20.100000000000001" customHeight="1" x14ac:dyDescent="0.2">
      <c r="A14" s="5" t="str">
        <f>HYPERLINK("#'Input - Fuel'!A1", "Fuel")</f>
        <v>Fuel</v>
      </c>
      <c r="D14" s="113" t="str">
        <v>VTM_w</v>
      </c>
      <c r="E14" s="122" t="str">
        <v>conversion factor of volume to mass for waste type w</v>
      </c>
      <c r="F14" s="123"/>
      <c r="G14" s="113" t="str">
        <v>t/m3</v>
      </c>
      <c r="H14" s="115" t="str">
        <v>Constant</v>
      </c>
      <c r="I14" s="116" t="str" cm="1">
        <f t="array" aca="1" ref="I14" ca="1">HYPERLINK(Common_InputFunctions.Utility_SourceHyperlink($D$18),$D$18)</f>
        <v>Table_V_w_t_onsite</v>
      </c>
      <c r="J14" s="116" t="str" cm="1">
        <f t="array" aca="1" ref="J14" ca="1">HYPERLINK(Common_InputFunctions.Utility_SourceHyperlink($D$56),$D$56)</f>
        <v>Table_V_w_t_offsite</v>
      </c>
    </row>
    <row r="15" spans="1:12" ht="20.100000000000001" customHeight="1" x14ac:dyDescent="0.2">
      <c r="A15" s="5" t="str">
        <f>HYPERLINK("#'Input - Electricity'!A1", "Electricity")</f>
        <v>Electricity</v>
      </c>
      <c r="D15" s="113" t="str">
        <v>w</v>
      </c>
      <c r="E15" s="122" t="str">
        <v>waste type</v>
      </c>
      <c r="F15" s="123"/>
      <c r="G15" s="113" t="str">
        <v/>
      </c>
      <c r="H15" s="114" t="str">
        <v>Input</v>
      </c>
      <c r="I15" s="116" t="str" cm="1">
        <f t="array" aca="1" ref="I15" ca="1">HYPERLINK(Common_InputFunctions.Utility_SourceHyperlink($D$18),$D$18)</f>
        <v>Table_V_w_t_onsite</v>
      </c>
      <c r="J15" s="116"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13" t="str">
        <v>t</v>
      </c>
      <c r="E16" s="122" t="str">
        <v>treatment facility</v>
      </c>
      <c r="F16" s="123"/>
      <c r="G16" s="113" t="str">
        <v/>
      </c>
      <c r="H16" s="114" t="str">
        <v>Input</v>
      </c>
      <c r="I16" s="116" t="str" cm="1">
        <f t="array" aca="1" ref="I16" ca="1">HYPERLINK(Common_InputFunctions.Utility_SourceHyperlink($D$18),$D$18)</f>
        <v>Table_V_w_t_onsite</v>
      </c>
      <c r="J16" s="116" t="str" cm="1">
        <f t="array" aca="1" ref="J16" ca="1">HYPERLINK(Common_InputFunctions.Utility_SourceHyperlink($D$56),$D$56)</f>
        <v>Table_V_w_t_offsite</v>
      </c>
    </row>
    <row r="17" spans="1:9" ht="20.100000000000001" customHeight="1" x14ac:dyDescent="0.2">
      <c r="A17" s="5" t="str">
        <f>HYPERLINK("#'Input - Livestock farm Inputs'!A1", "Livestock farm Inputs")</f>
        <v>Livestock farm Inputs</v>
      </c>
    </row>
    <row r="18" spans="1:9" ht="20.100000000000001" customHeight="1" x14ac:dyDescent="0.2">
      <c r="A18" s="5" t="str">
        <f>HYPERLINK("#'Input - Freight'!A1", "Freight")</f>
        <v>Freight</v>
      </c>
      <c r="D18" s="118" t="s">
        <v>912</v>
      </c>
    </row>
    <row r="19" spans="1:9" ht="20.100000000000001" customHeight="1" x14ac:dyDescent="0.2">
      <c r="A19" s="5" t="str">
        <f>HYPERLINK("#'Input - Solid waste'!A1", "Solid waste")</f>
        <v>Solid waste</v>
      </c>
      <c r="D19" s="119" t="s">
        <v>913</v>
      </c>
    </row>
    <row r="20" spans="1:9" ht="20.100000000000001" customHeight="1" x14ac:dyDescent="0.2">
      <c r="A20" s="5" t="str">
        <f>HYPERLINK("#'Input - Manure sent off-site'!A1", "Manure sent off-site")</f>
        <v>Manure sent off-site</v>
      </c>
      <c r="D20" s="78" t="s">
        <v>914</v>
      </c>
      <c r="E20" s="78" t="s">
        <v>915</v>
      </c>
      <c r="F20" s="78"/>
      <c r="G20" s="78" t="s">
        <v>916</v>
      </c>
      <c r="H20" s="120" t="s">
        <v>917</v>
      </c>
      <c r="I20" s="120" t="s">
        <v>918</v>
      </c>
    </row>
    <row r="21" spans="1:9" ht="20.100000000000001" customHeight="1" x14ac:dyDescent="0.2">
      <c r="A21" s="5" t="str">
        <f>HYPERLINK("#'Input - Data quality'!A1", "Data quality")</f>
        <v>Data quality</v>
      </c>
      <c r="D21" s="113" t="str" cm="1">
        <f t="array" ref="D21:D54">Table_SourceData_WasteSolid_WasteTreatmentEFs[Treatment type t]</f>
        <v>Landfill</v>
      </c>
      <c r="E21" s="122" t="str" cm="1">
        <f t="array" ref="E21:E54">Table_SourceData_WasteSolid_WasteTreatmentEFs[Waste type w]</f>
        <v>Food waste (including animal carcasses, spoiled animal feed or crop)</v>
      </c>
      <c r="F21" s="225"/>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
      <c r="A22" s="5" t="str">
        <f>HYPERLINK("#'Input - Fert Prod System'!A1", "Fert Prod System")</f>
        <v>Fert Prod System</v>
      </c>
      <c r="D22" s="113" t="str">
        <v>Landfill</v>
      </c>
      <c r="E22" s="122" t="str">
        <v>Paper and cardboard</v>
      </c>
      <c r="F22" s="225"/>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
      <c r="A23" s="5" t="str">
        <f>HYPERLINK("#'Input - Fertiliser'!A1", "Fertiliser")</f>
        <v>Fertiliser</v>
      </c>
      <c r="D23" s="113" t="str">
        <v>Landfill</v>
      </c>
      <c r="E23" s="122" t="str">
        <v>Green waste (including crop residues or prunings)</v>
      </c>
      <c r="F23" s="225"/>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
      <c r="D24" s="113" t="str">
        <v>Landfill</v>
      </c>
      <c r="E24" s="122" t="str">
        <v>Wood</v>
      </c>
      <c r="F24" s="225"/>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
      <c r="D25" s="113" t="str">
        <v>Landfill</v>
      </c>
      <c r="E25" s="122" t="str">
        <v>Textiles</v>
      </c>
      <c r="F25" s="225"/>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
      <c r="A26" s="6" t="s">
        <v>2</v>
      </c>
      <c r="D26" s="113" t="str">
        <v>Landfill</v>
      </c>
      <c r="E26" s="122" t="str">
        <v>Sludge</v>
      </c>
      <c r="F26" s="225"/>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
      <c r="A27" s="5" t="str">
        <f>HYPERLINK("#'4.6.1.1-2 Methane'!A1", "4.6.1.1-2 Manure Methane")</f>
        <v>4.6.1.1-2 Manure Methane</v>
      </c>
      <c r="D27" s="113" t="str">
        <v>Landfill</v>
      </c>
      <c r="E27" s="122" t="str">
        <v>Rubber and leather</v>
      </c>
      <c r="F27" s="225"/>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
      <c r="A28" s="5" t="str">
        <f>HYPERLINK("#'4.6.1.3-4 Direct N20'!A1", "4.6.1.3-4 Manure Direct N2O")</f>
        <v>4.6.1.3-4 Manure Direct N2O</v>
      </c>
      <c r="D28" s="113" t="str">
        <v>Landfill</v>
      </c>
      <c r="E28" s="122" t="str">
        <v>Inert waste (including concrete, metal, plastic or glass)</v>
      </c>
      <c r="F28" s="225"/>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
      <c r="A29" s="5" t="str">
        <f>HYPERLINK("#'4.6.1.5-6 Atmos Dep'!A1", "4.6.1.5-6 Manure Atmos Dep")</f>
        <v>4.6.1.5-6 Manure Atmos Dep</v>
      </c>
      <c r="D29" s="113" t="str">
        <v>Landfill</v>
      </c>
      <c r="E29" s="122" t="str">
        <v>Municipal solid waste</v>
      </c>
      <c r="F29" s="225"/>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
      <c r="A30" s="5" t="str">
        <f>HYPERLINK("#'4.6.1.7-8 Leaching and runoff'!A1", "4.6.1.7-8 Manure Leaching and runoff")</f>
        <v>4.6.1.7-8 Manure Leaching and runoff</v>
      </c>
      <c r="D30" s="113" t="str">
        <v>Landfill</v>
      </c>
      <c r="E30" s="122" t="str">
        <v>Commercial and industrial waste</v>
      </c>
      <c r="F30" s="225"/>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
      <c r="A31" s="5" t="str">
        <f>HYPERLINK("#'4.6.1.9 Manure applied to soils'!A1", "4.6.1.9 Manure applied to soils")</f>
        <v>4.6.1.9 Manure applied to soils</v>
      </c>
      <c r="D31" s="113" t="str">
        <v>Landfill</v>
      </c>
      <c r="E31" s="122" t="str">
        <v>Construction and demolition waste</v>
      </c>
      <c r="F31" s="225"/>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
      <c r="A32" s="5" t="str">
        <f>HYPERLINK("#'4.6.1.10-11 Soil direct N2O'!A1", "4.6.1.10-11 Soil direct N2O")</f>
        <v>4.6.1.10-11 Soil direct N2O</v>
      </c>
      <c r="D32" s="113" t="str">
        <v>Incineration</v>
      </c>
      <c r="E32" s="122" t="str">
        <v>Food waste, green waste, wood, sludge</v>
      </c>
      <c r="F32" s="225"/>
      <c r="G32" s="15" t="s">
        <v>782</v>
      </c>
      <c r="H32" s="15" t="s">
        <v>782</v>
      </c>
      <c r="I32" s="15" t="s">
        <v>782</v>
      </c>
    </row>
    <row r="33" spans="1:9" ht="20.100000000000001" customHeight="1" x14ac:dyDescent="0.2">
      <c r="A33" s="5" t="str">
        <f>HYPERLINK("#'4.6.1.12-13 Soil atmos dep'!A1", "4.6.1.12-13 Soil atmos dep")</f>
        <v>4.6.1.12-13 Soil atmos dep</v>
      </c>
      <c r="D33" s="113" t="str">
        <v>Incineration</v>
      </c>
      <c r="E33" s="122" t="str">
        <v>Food waste (including animal carcasses, spoiled animal feed or crop)</v>
      </c>
      <c r="F33" s="225"/>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
      <c r="A34" s="5" t="str">
        <f>HYPERLINK("#'4.6.1.14-15 Soil leach runoff'!A1", "4.6.1.14-15 Soil leach runoff")</f>
        <v>4.6.1.14-15 Soil leach runoff</v>
      </c>
      <c r="D34" s="113" t="str">
        <v>Incineration</v>
      </c>
      <c r="E34" s="122" t="str">
        <v>Green waste (including crop residues or prunings)</v>
      </c>
      <c r="F34" s="225"/>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
      <c r="A35" s="5" t="str">
        <f>HYPERLINK("#'8.1.1.1-2 Transport fuel'!A1", "8.1.1.1-2 Transport fuel")</f>
        <v>8.1.1.1-2 Transport fuel</v>
      </c>
      <c r="D35" s="113" t="str">
        <v>Incineration</v>
      </c>
      <c r="E35" s="122" t="str">
        <v>Wood</v>
      </c>
      <c r="F35" s="225"/>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
      <c r="A36" s="5" t="str">
        <f>HYPERLINK("#'8.2.1.1-2 Stationary fuel'!A1", "8.2.1.1-2 Stationary fuel")</f>
        <v>8.2.1.1-2 Stationary fuel</v>
      </c>
      <c r="D36" s="113" t="str">
        <v>Incineration</v>
      </c>
      <c r="E36" s="122" t="str">
        <v>Sludge</v>
      </c>
      <c r="F36" s="225"/>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
      <c r="A37" s="117" t="str">
        <f>HYPERLINK("#'10.1.1-2 Solid waste treatment'!A1", "10.1.1.1-2 Solid waste")</f>
        <v>10.1.1.1-2 Solid waste</v>
      </c>
      <c r="D37" s="113" t="str">
        <v>Incineration</v>
      </c>
      <c r="E37" s="122" t="str">
        <v>Paper and cardboard</v>
      </c>
      <c r="F37" s="225"/>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
      <c r="A38" s="5" t="str">
        <f>HYPERLINK("#'14.1.1-2 Purchased electricity'!A1", "14.1.1-2 Purchased electricity")</f>
        <v>14.1.1-2 Purchased electricity</v>
      </c>
      <c r="D38" s="113" t="str">
        <v>Incineration</v>
      </c>
      <c r="E38" s="122" t="str">
        <v>Textiles</v>
      </c>
      <c r="F38" s="225"/>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
      <c r="A39" s="5" t="str">
        <f>HYPERLINK("#'15 Scope 3'!A1", "15 Scope 3")</f>
        <v>15 Scope 3</v>
      </c>
      <c r="D39" s="113" t="str">
        <v>Incineration</v>
      </c>
      <c r="E39" s="122" t="str">
        <v>Rubber and leather</v>
      </c>
      <c r="F39" s="225"/>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
      <c r="A40" s="5" t="str">
        <f>HYPERLINK("#'Calcs - Manure sent off-site'!A1", "Calcs - Manure sent off-site")</f>
        <v>Calcs - Manure sent off-site</v>
      </c>
      <c r="D40" s="113" t="str">
        <v>Incineration</v>
      </c>
      <c r="E40" s="113" t="str">
        <v>Inert waste (including concrete, metal, plastic or glass)</v>
      </c>
      <c r="F40" s="113"/>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
      <c r="A41" s="5" t="str">
        <f>HYPERLINK("#'5.1.1.1-2 Inorganic fert N2O'!A1", "5.1.1.1-2 Inorganic fert N2O")</f>
        <v>5.1.1.1-2 Inorganic fert N2O</v>
      </c>
      <c r="D41" s="113" t="str">
        <v>Incineration</v>
      </c>
      <c r="E41" s="122" t="str">
        <v>Municipal solid waste</v>
      </c>
      <c r="F41" s="123"/>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
      <c r="A42" s="5" t="str">
        <f>HYPERLINK("#'5.1.1.3-4 Inorganic fert CO2'!A1", "5.1.1.3-4 Inorganic fert CO2")</f>
        <v>5.1.1.3-4 Inorganic fert CO2</v>
      </c>
      <c r="D42" s="113" t="str">
        <v>Incineration</v>
      </c>
      <c r="E42" s="122" t="str">
        <v>Commercial and industrial waste</v>
      </c>
      <c r="F42" s="123"/>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
      <c r="A43" s="5" t="str">
        <f>HYPERLINK("#'5.2.1.1-2 Organic Fert N2O'!A1", "5.2.1.1-2 Organic Fert N2O")</f>
        <v>5.2.1.1-2 Organic Fert N2O</v>
      </c>
      <c r="D43" s="113" t="str">
        <v>Composting</v>
      </c>
      <c r="E43" s="122" t="str">
        <v>All organic waste</v>
      </c>
      <c r="F43" s="123"/>
      <c r="G43" s="15" t="s">
        <v>782</v>
      </c>
      <c r="H43" s="15" t="s">
        <v>782</v>
      </c>
      <c r="I43" s="15" t="s">
        <v>782</v>
      </c>
    </row>
    <row r="44" spans="1:9" ht="20.100000000000001" customHeight="1" x14ac:dyDescent="0.2">
      <c r="A44" s="5" t="str">
        <f>HYPERLINK("#'5.3.1.1-2 Lime CO2'!A1", "5.3.1.1-2 Lime CO2")</f>
        <v>5.3.1.1-2 Lime CO2</v>
      </c>
      <c r="D44" s="113" t="str">
        <v>Composting</v>
      </c>
      <c r="E44" s="122" t="str">
        <v>Food waste (including animal carcasses, spoiled animal feed or crop)</v>
      </c>
      <c r="F44" s="123"/>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
      <c r="A45" s="5" t="str">
        <f>HYPERLINK("#'5.4.1.1-4 Atmos deposition'!A1", "5.4.1.1-4 Atmos deposition")</f>
        <v>5.4.1.1-4 Atmos deposition</v>
      </c>
      <c r="D45" s="113" t="str">
        <v>Composting</v>
      </c>
      <c r="E45" s="122" t="str">
        <v>Green waste (including crop residues or prunings)</v>
      </c>
      <c r="F45" s="123"/>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
      <c r="A46" s="5" t="str">
        <f>HYPERLINK("#'5.5.1.1-2 Leaching and runoff'!A1", "5.5.1.1-2 Leaching and runoff")</f>
        <v>5.5.1.1-2 Leaching and runoff</v>
      </c>
      <c r="D46" s="113" t="str">
        <v>Composting</v>
      </c>
      <c r="E46" s="122" t="str">
        <v>Wood</v>
      </c>
      <c r="F46" s="123"/>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
      <c r="D47" s="113" t="str">
        <v>Composting</v>
      </c>
      <c r="E47" s="122" t="str">
        <v>Sludge</v>
      </c>
      <c r="F47" s="123"/>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
      <c r="D48" s="113" t="str">
        <v>Composting</v>
      </c>
      <c r="E48" s="122" t="str">
        <v>Paper and cardboard</v>
      </c>
      <c r="F48" s="123"/>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
      <c r="A49" s="80" t="s">
        <v>1</v>
      </c>
      <c r="D49" s="113" t="str">
        <v>Anaerobic digestion</v>
      </c>
      <c r="E49" s="122" t="str">
        <v>All organic waste</v>
      </c>
      <c r="F49" s="123"/>
      <c r="G49" s="15" t="s">
        <v>782</v>
      </c>
      <c r="H49" s="15" t="s">
        <v>782</v>
      </c>
      <c r="I49" s="15" t="s">
        <v>782</v>
      </c>
    </row>
    <row r="50" spans="1:9" ht="20.100000000000001" customHeight="1" x14ac:dyDescent="0.2">
      <c r="A50" s="5" t="str">
        <f>HYPERLINK("#'Constants - Poultry'!A1", "Constants - Poultry")</f>
        <v>Constants - Poultry</v>
      </c>
      <c r="D50" s="113" t="str">
        <v>Anaerobic digestion</v>
      </c>
      <c r="E50" s="122" t="str">
        <v>Food waste (including animal carcasses, spoiled animal feed or crop)</v>
      </c>
      <c r="F50" s="123"/>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
      <c r="A51" s="5" t="str">
        <f>HYPERLINK("#'Constants - Common livestock'!A1", "Constants - Common Livestock")</f>
        <v>Constants - Common Livestock</v>
      </c>
      <c r="D51" s="113" t="str">
        <v>Anaerobic digestion</v>
      </c>
      <c r="E51" s="122" t="str">
        <v>Green waste (including crop residues or prunings)</v>
      </c>
      <c r="F51" s="123"/>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
      <c r="A52" s="5" t="str">
        <f>HYPERLINK("#'Constants - Electricity'!A1", "Constants - Electricity")</f>
        <v>Constants - Electricity</v>
      </c>
      <c r="D52" s="113" t="str">
        <v>Anaerobic digestion</v>
      </c>
      <c r="E52" s="122" t="str">
        <v>Wood</v>
      </c>
      <c r="F52" s="123"/>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
      <c r="A53" s="5" t="str">
        <f>HYPERLINK("#'Constants - Fertiliser'!A1", "Constants - Fertiliser")</f>
        <v>Constants - Fertiliser</v>
      </c>
      <c r="D53" s="113" t="str">
        <v>Anaerobic digestion</v>
      </c>
      <c r="E53" s="122" t="str">
        <v>Sludge</v>
      </c>
      <c r="F53" s="123"/>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
      <c r="A54" s="5" t="str">
        <f>HYPERLINK("#'Constants - Fuel'!A1", "Constants - Fuel")</f>
        <v>Constants - Fuel</v>
      </c>
      <c r="D54" s="113" t="str">
        <v>Anaerobic digestion</v>
      </c>
      <c r="E54" s="122" t="str">
        <v>Paper and cardboard</v>
      </c>
      <c r="F54" s="123"/>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
      <c r="A55" s="5" t="str">
        <f>HYPERLINK("#'Constants - Scope 3'!A1", "Constants - Scope 3")</f>
        <v>Constants - Scope 3</v>
      </c>
    </row>
    <row r="56" spans="1:9" ht="20.100000000000001" customHeight="1" x14ac:dyDescent="0.2">
      <c r="A56" s="5" t="str">
        <f>HYPERLINK("#'Constants - Solid Waste'!A1", "Constants - Solid Waste")</f>
        <v>Constants - Solid Waste</v>
      </c>
      <c r="D56" s="118" t="s">
        <v>919</v>
      </c>
    </row>
    <row r="57" spans="1:9" ht="20.100000000000001" customHeight="1" x14ac:dyDescent="0.2">
      <c r="A57" s="5" t="str">
        <f>HYPERLINK("#'Constants - Common'!A1", "Constants - Common")</f>
        <v>Constants - Common</v>
      </c>
      <c r="D57" s="119" t="s">
        <v>920</v>
      </c>
    </row>
    <row r="58" spans="1:9" ht="20.100000000000001" customHeight="1" x14ac:dyDescent="0.2">
      <c r="D58" s="78" t="s">
        <v>914</v>
      </c>
      <c r="E58" s="78" t="s">
        <v>915</v>
      </c>
      <c r="F58" s="78"/>
      <c r="G58" s="78" t="s">
        <v>916</v>
      </c>
      <c r="H58" s="120" t="s">
        <v>917</v>
      </c>
      <c r="I58" s="120" t="s">
        <v>918</v>
      </c>
    </row>
    <row r="59" spans="1:9" ht="20.100000000000001" customHeight="1" x14ac:dyDescent="0.2">
      <c r="D59" s="113" t="str" cm="1">
        <f t="array" ref="D59:D92">Table_SourceData_WasteSolid_WasteTreatmentEFs[Treatment type t]</f>
        <v>Landfill</v>
      </c>
      <c r="E59" s="122" t="str" cm="1">
        <f t="array" ref="E59:E92">Table_SourceData_WasteSolid_WasteTreatmentEFs[Waste type w]</f>
        <v>Food waste (including animal carcasses, spoiled animal feed or crop)</v>
      </c>
      <c r="F59" s="225"/>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
      <c r="D60" s="113" t="str">
        <v>Landfill</v>
      </c>
      <c r="E60" s="122" t="str">
        <v>Paper and cardboard</v>
      </c>
      <c r="F60" s="225"/>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
      <c r="D61" s="113" t="str">
        <v>Landfill</v>
      </c>
      <c r="E61" s="122" t="str">
        <v>Green waste (including crop residues or prunings)</v>
      </c>
      <c r="F61" s="225"/>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
      <c r="D62" s="113" t="str">
        <v>Landfill</v>
      </c>
      <c r="E62" s="122" t="str">
        <v>Wood</v>
      </c>
      <c r="F62" s="225"/>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
      <c r="D63" s="113" t="str">
        <v>Landfill</v>
      </c>
      <c r="E63" s="122" t="str">
        <v>Textiles</v>
      </c>
      <c r="F63" s="225"/>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
      <c r="D64" s="113" t="str">
        <v>Landfill</v>
      </c>
      <c r="E64" s="122" t="str">
        <v>Sludge</v>
      </c>
      <c r="F64" s="225"/>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1:9" ht="20.100000000000001" customHeight="1" x14ac:dyDescent="0.2">
      <c r="D65" s="113" t="str">
        <v>Landfill</v>
      </c>
      <c r="E65" s="122" t="str">
        <v>Rubber and leather</v>
      </c>
      <c r="F65" s="225"/>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1:9" ht="20.100000000000001" customHeight="1" x14ac:dyDescent="0.2">
      <c r="D66" s="113" t="str">
        <v>Landfill</v>
      </c>
      <c r="E66" s="122" t="str">
        <v>Inert waste (including concrete, metal, plastic or glass)</v>
      </c>
      <c r="F66" s="225"/>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1:9" ht="20.100000000000001" customHeight="1" x14ac:dyDescent="0.2">
      <c r="D67" s="113" t="str">
        <v>Landfill</v>
      </c>
      <c r="E67" s="122" t="str">
        <v>Municipal solid waste</v>
      </c>
      <c r="F67" s="225"/>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1:9" ht="20.100000000000001" customHeight="1" x14ac:dyDescent="0.2">
      <c r="A68" s="79" t="str">
        <f>HYPERLINK("#A1", "▲ Back to top")</f>
        <v>▲ Back to top</v>
      </c>
      <c r="D68" s="113" t="str">
        <v>Landfill</v>
      </c>
      <c r="E68" s="122" t="str">
        <v>Commercial and industrial waste</v>
      </c>
      <c r="F68" s="225"/>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1:9" ht="20.100000000000001" customHeight="1" x14ac:dyDescent="0.2">
      <c r="D69" s="113" t="str">
        <v>Landfill</v>
      </c>
      <c r="E69" s="122" t="str">
        <v>Construction and demolition waste</v>
      </c>
      <c r="F69" s="225"/>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1:9" ht="20.100000000000001" customHeight="1" x14ac:dyDescent="0.2">
      <c r="D70" s="113" t="str">
        <v>Incineration</v>
      </c>
      <c r="E70" s="122" t="str">
        <v>Food waste, green waste, wood, sludge</v>
      </c>
      <c r="F70" s="225"/>
      <c r="G70" s="15" t="s">
        <v>782</v>
      </c>
      <c r="H70" s="15" t="s">
        <v>782</v>
      </c>
      <c r="I70" s="15" t="s">
        <v>782</v>
      </c>
    </row>
    <row r="71" spans="1:9" ht="20.100000000000001" customHeight="1" x14ac:dyDescent="0.2">
      <c r="D71" s="113" t="str">
        <v>Incineration</v>
      </c>
      <c r="E71" s="122" t="str">
        <v>Food waste (including animal carcasses, spoiled animal feed or crop)</v>
      </c>
      <c r="F71" s="225"/>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1:9" ht="20.100000000000001" customHeight="1" x14ac:dyDescent="0.2">
      <c r="D72" s="113" t="str">
        <v>Incineration</v>
      </c>
      <c r="E72" s="122" t="str">
        <v>Green waste (including crop residues or prunings)</v>
      </c>
      <c r="F72" s="225"/>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1:9" ht="20.100000000000001" customHeight="1" x14ac:dyDescent="0.2">
      <c r="D73" s="113" t="str">
        <v>Incineration</v>
      </c>
      <c r="E73" s="122" t="str">
        <v>Wood</v>
      </c>
      <c r="F73" s="225"/>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1:9" ht="20.100000000000001" customHeight="1" x14ac:dyDescent="0.2">
      <c r="D74" s="113" t="str">
        <v>Incineration</v>
      </c>
      <c r="E74" s="122" t="str">
        <v>Sludge</v>
      </c>
      <c r="F74" s="225"/>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1:9" ht="20.100000000000001" customHeight="1" x14ac:dyDescent="0.2">
      <c r="D75" s="113" t="str">
        <v>Incineration</v>
      </c>
      <c r="E75" s="122" t="str">
        <v>Paper and cardboard</v>
      </c>
      <c r="F75" s="225"/>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1:9" ht="20.100000000000001" customHeight="1" x14ac:dyDescent="0.2">
      <c r="D76" s="113" t="str">
        <v>Incineration</v>
      </c>
      <c r="E76" s="122" t="str">
        <v>Textiles</v>
      </c>
      <c r="F76" s="225"/>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1:9" ht="20.100000000000001" customHeight="1" x14ac:dyDescent="0.2">
      <c r="D77" s="113" t="str">
        <v>Incineration</v>
      </c>
      <c r="E77" s="122" t="str">
        <v>Rubber and leather</v>
      </c>
      <c r="F77" s="225"/>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1:9" ht="20.100000000000001" customHeight="1" x14ac:dyDescent="0.2">
      <c r="D78" s="113" t="str">
        <v>Incineration</v>
      </c>
      <c r="E78" s="122" t="str">
        <v>Inert waste (including concrete, metal, plastic or glass)</v>
      </c>
      <c r="F78" s="225"/>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1:9" ht="20.100000000000001" customHeight="1" x14ac:dyDescent="0.2">
      <c r="D79" s="113" t="str">
        <v>Incineration</v>
      </c>
      <c r="E79" s="122" t="str">
        <v>Municipal solid waste</v>
      </c>
      <c r="F79" s="123"/>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1:9" ht="20.100000000000001" customHeight="1" x14ac:dyDescent="0.2">
      <c r="D80" s="113" t="str">
        <v>Incineration</v>
      </c>
      <c r="E80" s="122" t="str">
        <v>Commercial and industrial waste</v>
      </c>
      <c r="F80" s="123"/>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
      <c r="D81" s="113" t="str">
        <v>Composting</v>
      </c>
      <c r="E81" s="122" t="str">
        <v>All organic waste</v>
      </c>
      <c r="F81" s="123"/>
      <c r="G81" s="15" t="s">
        <v>782</v>
      </c>
      <c r="H81" s="15" t="s">
        <v>782</v>
      </c>
      <c r="I81" s="15" t="s">
        <v>782</v>
      </c>
    </row>
    <row r="82" spans="3:12" ht="20.100000000000001" customHeight="1" x14ac:dyDescent="0.2">
      <c r="D82" s="113" t="str">
        <v>Composting</v>
      </c>
      <c r="E82" s="122" t="str">
        <v>Food waste (including animal carcasses, spoiled animal feed or crop)</v>
      </c>
      <c r="F82" s="123"/>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
      <c r="D83" s="113" t="str">
        <v>Composting</v>
      </c>
      <c r="E83" s="122" t="str">
        <v>Green waste (including crop residues or prunings)</v>
      </c>
      <c r="F83" s="123"/>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
      <c r="D84" s="113" t="str">
        <v>Composting</v>
      </c>
      <c r="E84" s="122" t="str">
        <v>Wood</v>
      </c>
      <c r="F84" s="123"/>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
      <c r="D85" s="113" t="str">
        <v>Composting</v>
      </c>
      <c r="E85" s="122" t="str">
        <v>Sludge</v>
      </c>
      <c r="F85" s="123"/>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
      <c r="D86" s="113" t="str">
        <v>Composting</v>
      </c>
      <c r="E86" s="122" t="str">
        <v>Paper and cardboard</v>
      </c>
      <c r="F86" s="123"/>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
      <c r="D87" s="113" t="str">
        <v>Anaerobic digestion</v>
      </c>
      <c r="E87" s="122" t="str">
        <v>All organic waste</v>
      </c>
      <c r="F87" s="123"/>
      <c r="G87" s="15" t="s">
        <v>782</v>
      </c>
      <c r="H87" s="15" t="s">
        <v>782</v>
      </c>
      <c r="I87" s="15" t="s">
        <v>782</v>
      </c>
    </row>
    <row r="88" spans="3:12" ht="20.100000000000001" customHeight="1" x14ac:dyDescent="0.2">
      <c r="D88" s="113" t="str">
        <v>Anaerobic digestion</v>
      </c>
      <c r="E88" s="122" t="str">
        <v>Food waste (including animal carcasses, spoiled animal feed or crop)</v>
      </c>
      <c r="F88" s="123"/>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
      <c r="D89" s="113" t="str">
        <v>Anaerobic digestion</v>
      </c>
      <c r="E89" s="122" t="str">
        <v>Green waste (including crop residues or prunings)</v>
      </c>
      <c r="F89" s="123"/>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
      <c r="D90" s="113" t="str">
        <v>Anaerobic digestion</v>
      </c>
      <c r="E90" s="122" t="str">
        <v>Wood</v>
      </c>
      <c r="F90" s="123"/>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
      <c r="D91" s="113" t="str">
        <v>Anaerobic digestion</v>
      </c>
      <c r="E91" s="122" t="str">
        <v>Sludge</v>
      </c>
      <c r="F91" s="123"/>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
      <c r="D92" s="113" t="str">
        <v>Anaerobic digestion</v>
      </c>
      <c r="E92" s="122" t="str">
        <v>Paper and cardboard</v>
      </c>
      <c r="F92" s="123"/>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5" spans="3:12" ht="20.100000000000001" customHeight="1" x14ac:dyDescent="0.2">
      <c r="C95" s="83"/>
      <c r="D95" s="83"/>
      <c r="E95" s="83"/>
      <c r="F95" s="83"/>
      <c r="G95" s="83"/>
      <c r="H95" s="83"/>
      <c r="I95" s="83"/>
      <c r="J95" s="83"/>
      <c r="K95" s="83"/>
      <c r="L95" s="83"/>
    </row>
    <row r="96" spans="3:12" ht="20.100000000000001" customHeight="1" x14ac:dyDescent="0.2">
      <c r="D96" s="2" t="str" cm="1">
        <f t="array" ref="D96">WasteSolid_Equations.VEERG_10_1_1_1__1_EmissionsFromWasteManagement_Title()</f>
        <v>Emissions from waste management by greenhouse gas</v>
      </c>
    </row>
    <row r="97" spans="1:9" ht="20.100000000000001" customHeight="1" x14ac:dyDescent="0.2">
      <c r="D97" s="17" t="str" cm="1">
        <f t="array" ref="D97">WasteSolid_Equations.VEERG_10_1_1_1__1_EmissionsFromWasteManagement_Source()</f>
        <v>VEERG 2026: 10.1.1.1, Equation (1)</v>
      </c>
    </row>
    <row r="98" spans="1:9" ht="20.100000000000001" customHeight="1" x14ac:dyDescent="0.2">
      <c r="A98" s="79" t="str">
        <f>HYPERLINK("#A1", "▲ Back to top")</f>
        <v>▲ Back to top</v>
      </c>
      <c r="D98" s="25"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
      <c r="D99" s="112" t="s">
        <v>328</v>
      </c>
      <c r="E99" s="112" t="str" cm="1">
        <f t="array" aca="1" ref="E99" ca="1">Common_InputFunctions.Utility_DisplayFunctionName(K116)</f>
        <v>=WasteSolid_Equations.VEERG_10_1_1_1__1_EmissionsFromWasteManagement</v>
      </c>
    </row>
    <row r="102" spans="1:9" ht="20.100000000000001" customHeight="1" x14ac:dyDescent="0.2">
      <c r="D102" s="75" t="s">
        <v>329</v>
      </c>
      <c r="E102" s="1" t="str" cm="1">
        <f t="array" ref="E102">WasteSolid_Equations.VEERG_10_1_1_1__1_EmissionsFromWasteManagement_Variable()</f>
        <v>E_g</v>
      </c>
    </row>
    <row r="103" spans="1:9" ht="20.100000000000001" customHeight="1" x14ac:dyDescent="0.2">
      <c r="D103" s="75" t="s">
        <v>118</v>
      </c>
      <c r="E103" s="9" t="str" cm="1">
        <f t="array" ref="E103">WasteSolid_Equations.VEERG_10_1_1_1__1_EmissionsFromWasteManagement_Unit()</f>
        <v>t CO2e</v>
      </c>
    </row>
    <row r="105" spans="1:9" ht="20.100000000000001" customHeight="1" x14ac:dyDescent="0.2">
      <c r="D105" s="113" t="str" cm="1">
        <f t="array" ref="D105:E111">_xlfn.CHOOSECOLS(WasteSolid_Equations.VEERG_10_1_1_1__1_EmissionsFromWasteManagement_Arguments(),1,2)</f>
        <v>Q_wt</v>
      </c>
      <c r="E105" s="122" t="str">
        <v>quantity of solid waste of type w being sent to treatment facility t, on a wet weight basis</v>
      </c>
      <c r="F105" s="136"/>
      <c r="G105" s="123"/>
      <c r="H105" s="113" t="str" cm="1">
        <f t="array" ref="H105:I111">_xlfn.CHOOSECOLS(WasteSolid_Equations.VEERG_10_1_1_1__1_EmissionsFromWasteManagement_Arguments(),3,4)</f>
        <v>t</v>
      </c>
      <c r="I105" s="115" t="str">
        <v>Sum of Q_volwt and Q_masswt</v>
      </c>
    </row>
    <row r="106" spans="1:9" ht="20.100000000000001" customHeight="1" x14ac:dyDescent="0.2">
      <c r="D106" s="113" t="str">
        <v>EF_wtg</v>
      </c>
      <c r="E106" s="122" t="str">
        <v>emission factor for greenhouse gas g for the management of waste at treatment facility t</v>
      </c>
      <c r="F106" s="136"/>
      <c r="G106" s="123"/>
      <c r="H106" s="113" t="str">
        <v>t CO2e/t</v>
      </c>
      <c r="I106" s="115" t="str">
        <v>Constant</v>
      </c>
    </row>
    <row r="107" spans="1:9" ht="20.100000000000001" customHeight="1" x14ac:dyDescent="0.2">
      <c r="D107" s="113" t="str">
        <v>w</v>
      </c>
      <c r="E107" s="122" t="str">
        <v>waste type</v>
      </c>
      <c r="F107" s="136"/>
      <c r="G107" s="123"/>
      <c r="H107" s="113" t="str">
        <v/>
      </c>
      <c r="I107" s="114" t="str">
        <v>Input</v>
      </c>
    </row>
    <row r="108" spans="1:9" ht="20.100000000000001" customHeight="1" x14ac:dyDescent="0.2">
      <c r="D108" s="113" t="str">
        <v>t</v>
      </c>
      <c r="E108" s="122" t="str">
        <v>treatment facility</v>
      </c>
      <c r="F108" s="136"/>
      <c r="G108" s="123"/>
      <c r="H108" s="113" t="str">
        <v/>
      </c>
      <c r="I108" s="114" t="str">
        <v>Input</v>
      </c>
    </row>
    <row r="109" spans="1:9" ht="20.100000000000001" customHeight="1" x14ac:dyDescent="0.2">
      <c r="D109" s="113" t="str">
        <v>g</v>
      </c>
      <c r="E109" s="122" t="str">
        <v>greenhouse gas</v>
      </c>
      <c r="F109" s="136"/>
      <c r="G109" s="123"/>
      <c r="H109" s="113" t="str">
        <v/>
      </c>
      <c r="I109" s="114" t="str">
        <v>Input</v>
      </c>
    </row>
    <row r="110" spans="1:9" ht="20.100000000000001" customHeight="1" x14ac:dyDescent="0.2">
      <c r="D110" s="113" t="str">
        <v>Q_volwt</v>
      </c>
      <c r="E110" s="122" t="str">
        <v>quantity of sold waste input as volume and converted to tonnes</v>
      </c>
      <c r="F110" s="136"/>
      <c r="G110" s="123"/>
      <c r="H110" s="113" t="str">
        <v>tonnes</v>
      </c>
      <c r="I110" s="115" t="str">
        <v>Calculated from 10.1.1.1 (2)</v>
      </c>
    </row>
    <row r="111" spans="1:9" ht="20.100000000000001" customHeight="1" x14ac:dyDescent="0.2">
      <c r="D111" s="113" t="str">
        <v>Q_masswt</v>
      </c>
      <c r="E111" s="122" t="str">
        <v>quantity of solid waste input as mass</v>
      </c>
      <c r="F111" s="136"/>
      <c r="G111" s="123"/>
      <c r="H111" s="113" t="str">
        <v>tonnes</v>
      </c>
      <c r="I111" s="114" t="str">
        <v>Input</v>
      </c>
    </row>
    <row r="113" spans="1:11" ht="20.100000000000001" customHeight="1" x14ac:dyDescent="0.2">
      <c r="D113" s="118" t="s">
        <v>921</v>
      </c>
    </row>
    <row r="114" spans="1:11" ht="20.100000000000001" customHeight="1" x14ac:dyDescent="0.2">
      <c r="D114" s="119" t="s">
        <v>922</v>
      </c>
    </row>
    <row r="115" spans="1:11" ht="20.100000000000001" customHeight="1" x14ac:dyDescent="0.2">
      <c r="D115" s="78" t="s">
        <v>914</v>
      </c>
      <c r="E115" s="78" t="s">
        <v>915</v>
      </c>
      <c r="F115" s="78"/>
      <c r="G115" s="78" t="s">
        <v>923</v>
      </c>
      <c r="H115" s="120" t="s">
        <v>924</v>
      </c>
      <c r="I115" s="120" t="s">
        <v>918</v>
      </c>
      <c r="J115" s="120" t="s">
        <v>925</v>
      </c>
      <c r="K115" s="120" t="s">
        <v>926</v>
      </c>
    </row>
    <row r="116" spans="1:11" ht="20.100000000000001" customHeight="1" x14ac:dyDescent="0.2">
      <c r="D116" s="113" t="str" cm="1">
        <f t="array" ref="D116:D149">Table_SourceData_WasteSolid_WasteTreatmentEFs[Treatment type t]</f>
        <v>Landfill</v>
      </c>
      <c r="E116" s="122" t="str" cm="1">
        <f t="array" ref="E116:E149">Table_SourceData_WasteSolid_WasteTreatmentEFs[Waste type w]</f>
        <v>Food waste (including animal carcasses, spoiled animal feed or crop)</v>
      </c>
      <c r="F116" s="225"/>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1:11" ht="20.100000000000001" customHeight="1" x14ac:dyDescent="0.2">
      <c r="D117" s="113" t="str">
        <v>Landfill</v>
      </c>
      <c r="E117" s="122" t="str">
        <v>Paper and cardboard</v>
      </c>
      <c r="F117" s="225"/>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1:11" ht="20.100000000000001" customHeight="1" x14ac:dyDescent="0.2">
      <c r="D118" s="113" t="str">
        <v>Landfill</v>
      </c>
      <c r="E118" s="122" t="str">
        <v>Green waste (including crop residues or prunings)</v>
      </c>
      <c r="F118" s="225"/>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1:11" ht="20.100000000000001" customHeight="1" x14ac:dyDescent="0.2">
      <c r="D119" s="113" t="str">
        <v>Landfill</v>
      </c>
      <c r="E119" s="122" t="str">
        <v>Wood</v>
      </c>
      <c r="F119" s="225"/>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1:11" ht="20.100000000000001" customHeight="1" x14ac:dyDescent="0.2">
      <c r="D120" s="113" t="str">
        <v>Landfill</v>
      </c>
      <c r="E120" s="122" t="str">
        <v>Textiles</v>
      </c>
      <c r="F120" s="225"/>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1:11" ht="20.100000000000001" customHeight="1" x14ac:dyDescent="0.2">
      <c r="D121" s="113" t="str">
        <v>Landfill</v>
      </c>
      <c r="E121" s="122" t="str">
        <v>Sludge</v>
      </c>
      <c r="F121" s="225"/>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1:11" ht="20.100000000000001" customHeight="1" x14ac:dyDescent="0.2">
      <c r="D122" s="113" t="str">
        <v>Landfill</v>
      </c>
      <c r="E122" s="122" t="str">
        <v>Rubber and leather</v>
      </c>
      <c r="F122" s="225"/>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1:11" ht="20.100000000000001" customHeight="1" x14ac:dyDescent="0.2">
      <c r="D123" s="113" t="str">
        <v>Landfill</v>
      </c>
      <c r="E123" s="122" t="str">
        <v>Inert waste (including concrete, metal, plastic or glass)</v>
      </c>
      <c r="F123" s="225"/>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1:11" ht="20.100000000000001" customHeight="1" x14ac:dyDescent="0.2">
      <c r="D124" s="113" t="str">
        <v>Landfill</v>
      </c>
      <c r="E124" s="122" t="str">
        <v>Municipal solid waste</v>
      </c>
      <c r="F124" s="225"/>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1:11" ht="20.100000000000001" customHeight="1" x14ac:dyDescent="0.2">
      <c r="D125" s="113" t="str">
        <v>Landfill</v>
      </c>
      <c r="E125" s="122" t="str">
        <v>Commercial and industrial waste</v>
      </c>
      <c r="F125" s="225"/>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1:11" ht="20.100000000000001" customHeight="1" x14ac:dyDescent="0.2">
      <c r="D126" s="113" t="str">
        <v>Landfill</v>
      </c>
      <c r="E126" s="122" t="str">
        <v>Construction and demolition waste</v>
      </c>
      <c r="F126" s="225"/>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1:11" ht="20.100000000000001" customHeight="1" x14ac:dyDescent="0.2">
      <c r="D127" s="113" t="str">
        <v>Incineration</v>
      </c>
      <c r="E127" s="122" t="str">
        <v>Food waste, green waste, wood, sludge</v>
      </c>
      <c r="F127" s="225"/>
      <c r="G127" s="15" t="s">
        <v>782</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1:11" ht="20.100000000000001" customHeight="1" x14ac:dyDescent="0.2">
      <c r="A128" s="79" t="str">
        <f>HYPERLINK("#A1", "▲ Back to top")</f>
        <v>▲ Back to top</v>
      </c>
      <c r="D128" s="113" t="str">
        <v>Incineration</v>
      </c>
      <c r="E128" s="122" t="str">
        <v>Food waste (including animal carcasses, spoiled animal feed or crop)</v>
      </c>
      <c r="F128" s="225"/>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927</v>
      </c>
      <c r="J128" s="15" t="s">
        <v>782</v>
      </c>
      <c r="K128" s="15" t="s">
        <v>782</v>
      </c>
    </row>
    <row r="129" spans="4:11" ht="20.100000000000001" customHeight="1" x14ac:dyDescent="0.2">
      <c r="D129" s="113" t="str">
        <v>Incineration</v>
      </c>
      <c r="E129" s="122" t="str">
        <v>Green waste (including crop residues or prunings)</v>
      </c>
      <c r="F129" s="225"/>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927</v>
      </c>
      <c r="J129" s="15" t="s">
        <v>782</v>
      </c>
      <c r="K129" s="15" t="s">
        <v>782</v>
      </c>
    </row>
    <row r="130" spans="4:11" ht="20.100000000000001" customHeight="1" x14ac:dyDescent="0.2">
      <c r="D130" s="113" t="str">
        <v>Incineration</v>
      </c>
      <c r="E130" s="122" t="str">
        <v>Wood</v>
      </c>
      <c r="F130" s="225"/>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927</v>
      </c>
      <c r="J130" s="15" t="s">
        <v>782</v>
      </c>
      <c r="K130" s="15" t="s">
        <v>782</v>
      </c>
    </row>
    <row r="131" spans="4:11" ht="20.100000000000001" customHeight="1" x14ac:dyDescent="0.2">
      <c r="D131" s="113" t="str">
        <v>Incineration</v>
      </c>
      <c r="E131" s="122" t="str">
        <v>Sludge</v>
      </c>
      <c r="F131" s="225"/>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927</v>
      </c>
      <c r="J131" s="15" t="s">
        <v>782</v>
      </c>
      <c r="K131" s="15" t="s">
        <v>782</v>
      </c>
    </row>
    <row r="132" spans="4:11" ht="20.100000000000001" customHeight="1" x14ac:dyDescent="0.2">
      <c r="D132" s="113" t="str">
        <v>Incineration</v>
      </c>
      <c r="E132" s="122" t="str">
        <v>Paper and cardboard</v>
      </c>
      <c r="F132" s="225"/>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
      <c r="D133" s="113" t="str">
        <v>Incineration</v>
      </c>
      <c r="E133" s="122" t="str">
        <v>Textiles</v>
      </c>
      <c r="F133" s="225"/>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
      <c r="D134" s="113" t="str">
        <v>Incineration</v>
      </c>
      <c r="E134" s="122" t="str">
        <v>Rubber and leather</v>
      </c>
      <c r="F134" s="225"/>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
      <c r="D135" s="113" t="str">
        <v>Incineration</v>
      </c>
      <c r="E135" s="122" t="str">
        <v>Inert waste (including concrete, metal, plastic or glass)</v>
      </c>
      <c r="F135" s="225"/>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
      <c r="D136" s="113" t="str">
        <v>Incineration</v>
      </c>
      <c r="E136" s="122" t="str">
        <v>Municipal solid waste</v>
      </c>
      <c r="F136" s="123"/>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
      <c r="D137" s="113" t="str">
        <v>Incineration</v>
      </c>
      <c r="E137" s="122" t="str">
        <v>Commercial and industrial waste</v>
      </c>
      <c r="F137" s="123"/>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
      <c r="D138" s="113" t="str">
        <v>Composting</v>
      </c>
      <c r="E138" s="122" t="str">
        <v>All organic waste</v>
      </c>
      <c r="F138" s="123"/>
      <c r="G138" s="15" t="s">
        <v>782</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
      <c r="D139" s="113" t="str">
        <v>Composting</v>
      </c>
      <c r="E139" s="122" t="str">
        <v>Food waste (including animal carcasses, spoiled animal feed or crop)</v>
      </c>
      <c r="F139" s="123"/>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927</v>
      </c>
      <c r="J139" s="15" t="s">
        <v>782</v>
      </c>
      <c r="K139" s="15" t="s">
        <v>782</v>
      </c>
    </row>
    <row r="140" spans="4:11" ht="20.100000000000001" customHeight="1" x14ac:dyDescent="0.2">
      <c r="D140" s="113" t="str">
        <v>Composting</v>
      </c>
      <c r="E140" s="122" t="str">
        <v>Green waste (including crop residues or prunings)</v>
      </c>
      <c r="F140" s="123"/>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927</v>
      </c>
      <c r="J140" s="15" t="s">
        <v>782</v>
      </c>
      <c r="K140" s="15" t="s">
        <v>782</v>
      </c>
    </row>
    <row r="141" spans="4:11" ht="20.100000000000001" customHeight="1" x14ac:dyDescent="0.2">
      <c r="D141" s="113" t="str">
        <v>Composting</v>
      </c>
      <c r="E141" s="122" t="str">
        <v>Wood</v>
      </c>
      <c r="F141" s="123"/>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927</v>
      </c>
      <c r="J141" s="15" t="s">
        <v>782</v>
      </c>
      <c r="K141" s="15" t="s">
        <v>782</v>
      </c>
    </row>
    <row r="142" spans="4:11" ht="20.100000000000001" customHeight="1" x14ac:dyDescent="0.2">
      <c r="D142" s="113" t="str">
        <v>Composting</v>
      </c>
      <c r="E142" s="122" t="str">
        <v>Sludge</v>
      </c>
      <c r="F142" s="123"/>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927</v>
      </c>
      <c r="J142" s="15" t="s">
        <v>782</v>
      </c>
      <c r="K142" s="15" t="s">
        <v>782</v>
      </c>
    </row>
    <row r="143" spans="4:11" ht="20.100000000000001" customHeight="1" x14ac:dyDescent="0.2">
      <c r="D143" s="113" t="str">
        <v>Composting</v>
      </c>
      <c r="E143" s="122" t="str">
        <v>Paper and cardboard</v>
      </c>
      <c r="F143" s="123"/>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927</v>
      </c>
      <c r="J143" s="15" t="s">
        <v>782</v>
      </c>
      <c r="K143" s="15" t="s">
        <v>782</v>
      </c>
    </row>
    <row r="144" spans="4:11" ht="20.100000000000001" customHeight="1" x14ac:dyDescent="0.2">
      <c r="D144" s="113" t="str">
        <v>Anaerobic digestion</v>
      </c>
      <c r="E144" s="122" t="str">
        <v>All organic waste</v>
      </c>
      <c r="F144" s="123"/>
      <c r="G144" s="15" t="s">
        <v>782</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1:11" ht="20.100000000000001" customHeight="1" x14ac:dyDescent="0.2">
      <c r="D145" s="113" t="str">
        <v>Anaerobic digestion</v>
      </c>
      <c r="E145" s="122" t="str">
        <v>Food waste (including animal carcasses, spoiled animal feed or crop)</v>
      </c>
      <c r="F145" s="123"/>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927</v>
      </c>
      <c r="J145" s="15" t="s">
        <v>782</v>
      </c>
      <c r="K145" s="15" t="s">
        <v>782</v>
      </c>
    </row>
    <row r="146" spans="1:11" ht="20.100000000000001" customHeight="1" x14ac:dyDescent="0.2">
      <c r="D146" s="113" t="str">
        <v>Anaerobic digestion</v>
      </c>
      <c r="E146" s="122" t="str">
        <v>Green waste (including crop residues or prunings)</v>
      </c>
      <c r="F146" s="123"/>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927</v>
      </c>
      <c r="J146" s="15" t="s">
        <v>782</v>
      </c>
      <c r="K146" s="15" t="s">
        <v>782</v>
      </c>
    </row>
    <row r="147" spans="1:11" ht="20.100000000000001" customHeight="1" x14ac:dyDescent="0.2">
      <c r="D147" s="113" t="str">
        <v>Anaerobic digestion</v>
      </c>
      <c r="E147" s="122" t="str">
        <v>Wood</v>
      </c>
      <c r="F147" s="123"/>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927</v>
      </c>
      <c r="J147" s="15" t="s">
        <v>782</v>
      </c>
      <c r="K147" s="15" t="s">
        <v>782</v>
      </c>
    </row>
    <row r="148" spans="1:11" ht="20.100000000000001" customHeight="1" x14ac:dyDescent="0.2">
      <c r="D148" s="113" t="str">
        <v>Anaerobic digestion</v>
      </c>
      <c r="E148" s="122" t="str">
        <v>Sludge</v>
      </c>
      <c r="F148" s="123"/>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927</v>
      </c>
      <c r="J148" s="15" t="s">
        <v>782</v>
      </c>
      <c r="K148" s="15" t="s">
        <v>782</v>
      </c>
    </row>
    <row r="149" spans="1:11" ht="20.100000000000001" customHeight="1" x14ac:dyDescent="0.2">
      <c r="D149" s="113" t="str">
        <v>Anaerobic digestion</v>
      </c>
      <c r="E149" s="122" t="str">
        <v>Paper and cardboard</v>
      </c>
      <c r="F149" s="123"/>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927</v>
      </c>
      <c r="J149" s="15" t="s">
        <v>782</v>
      </c>
      <c r="K149" s="15" t="s">
        <v>782</v>
      </c>
    </row>
    <row r="151" spans="1:11" ht="20.100000000000001" customHeight="1" x14ac:dyDescent="0.2">
      <c r="D151" s="85" t="s">
        <v>928</v>
      </c>
      <c r="E151" s="86">
        <f>SUM(K116:K149)</f>
        <v>438.82805000000002</v>
      </c>
      <c r="F151" s="95" t="str">
        <f>$E$103</f>
        <v>t CO2e</v>
      </c>
    </row>
    <row r="154" spans="1:11" ht="20.100000000000001" customHeight="1" x14ac:dyDescent="0.2">
      <c r="D154" s="118" t="s">
        <v>929</v>
      </c>
    </row>
    <row r="155" spans="1:11" ht="20.100000000000001" customHeight="1" x14ac:dyDescent="0.2">
      <c r="D155" s="119" t="s">
        <v>930</v>
      </c>
    </row>
    <row r="156" spans="1:11" ht="20.100000000000001" customHeight="1" x14ac:dyDescent="0.2">
      <c r="D156" s="78" t="s">
        <v>914</v>
      </c>
      <c r="E156" s="78" t="s">
        <v>915</v>
      </c>
      <c r="F156" s="78"/>
      <c r="G156" s="78" t="s">
        <v>923</v>
      </c>
      <c r="H156" s="120" t="s">
        <v>924</v>
      </c>
      <c r="I156" s="120" t="s">
        <v>918</v>
      </c>
      <c r="J156" s="120" t="s">
        <v>925</v>
      </c>
      <c r="K156" s="120" t="s">
        <v>926</v>
      </c>
    </row>
    <row r="157" spans="1:11" ht="20.100000000000001" customHeight="1" x14ac:dyDescent="0.2">
      <c r="D157" s="113" t="str" cm="1">
        <f t="array" ref="D157:D190">Table_SourceData_WasteSolid_WasteTreatmentEFs[Treatment type t]</f>
        <v>Landfill</v>
      </c>
      <c r="E157" s="122" t="str" cm="1">
        <f t="array" ref="E157:E190">Table_SourceData_WasteSolid_WasteTreatmentEFs[Waste type w]</f>
        <v>Food waste (including animal carcasses, spoiled animal feed or crop)</v>
      </c>
      <c r="F157" s="225"/>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1:11" ht="20.100000000000001" customHeight="1" x14ac:dyDescent="0.2">
      <c r="A158" s="79" t="str">
        <f>HYPERLINK("#A1", "▲ Back to top")</f>
        <v>▲ Back to top</v>
      </c>
      <c r="D158" s="113" t="str">
        <v>Landfill</v>
      </c>
      <c r="E158" s="122" t="str">
        <v>Paper and cardboard</v>
      </c>
      <c r="F158" s="225"/>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1:11" ht="20.100000000000001" customHeight="1" x14ac:dyDescent="0.2">
      <c r="D159" s="113" t="str">
        <v>Landfill</v>
      </c>
      <c r="E159" s="122" t="str">
        <v>Green waste (including crop residues or prunings)</v>
      </c>
      <c r="F159" s="225"/>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1:11" ht="20.100000000000001" customHeight="1" x14ac:dyDescent="0.2">
      <c r="D160" s="113" t="str">
        <v>Landfill</v>
      </c>
      <c r="E160" s="122" t="str">
        <v>Wood</v>
      </c>
      <c r="F160" s="225"/>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
      <c r="D161" s="113" t="str">
        <v>Landfill</v>
      </c>
      <c r="E161" s="122" t="str">
        <v>Textiles</v>
      </c>
      <c r="F161" s="225"/>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
      <c r="D162" s="113" t="str">
        <v>Landfill</v>
      </c>
      <c r="E162" s="122" t="str">
        <v>Sludge</v>
      </c>
      <c r="F162" s="225"/>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
      <c r="D163" s="113" t="str">
        <v>Landfill</v>
      </c>
      <c r="E163" s="122" t="str">
        <v>Rubber and leather</v>
      </c>
      <c r="F163" s="225"/>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
      <c r="D164" s="113" t="str">
        <v>Landfill</v>
      </c>
      <c r="E164" s="122" t="str">
        <v>Inert waste (including concrete, metal, plastic or glass)</v>
      </c>
      <c r="F164" s="225"/>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
      <c r="D165" s="113" t="str">
        <v>Landfill</v>
      </c>
      <c r="E165" s="122" t="str">
        <v>Municipal solid waste</v>
      </c>
      <c r="F165" s="225"/>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
      <c r="D166" s="113" t="str">
        <v>Landfill</v>
      </c>
      <c r="E166" s="122" t="str">
        <v>Commercial and industrial waste</v>
      </c>
      <c r="F166" s="225"/>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
      <c r="D167" s="113" t="str">
        <v>Landfill</v>
      </c>
      <c r="E167" s="122" t="str">
        <v>Construction and demolition waste</v>
      </c>
      <c r="F167" s="225"/>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
      <c r="D168" s="113" t="str">
        <v>Incineration</v>
      </c>
      <c r="E168" s="122" t="str">
        <v>Food waste, green waste, wood, sludge</v>
      </c>
      <c r="F168" s="225"/>
      <c r="G168" s="15" t="s">
        <v>782</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
      <c r="D169" s="113" t="str">
        <v>Incineration</v>
      </c>
      <c r="E169" s="122" t="str">
        <v>Food waste (including animal carcasses, spoiled animal feed or crop)</v>
      </c>
      <c r="F169" s="225"/>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927</v>
      </c>
      <c r="J169" s="15" t="s">
        <v>782</v>
      </c>
      <c r="K169" s="15" t="s">
        <v>782</v>
      </c>
    </row>
    <row r="170" spans="4:11" ht="20.100000000000001" customHeight="1" x14ac:dyDescent="0.2">
      <c r="D170" s="113" t="str">
        <v>Incineration</v>
      </c>
      <c r="E170" s="122" t="str">
        <v>Green waste (including crop residues or prunings)</v>
      </c>
      <c r="F170" s="225"/>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927</v>
      </c>
      <c r="J170" s="15" t="s">
        <v>782</v>
      </c>
      <c r="K170" s="15" t="s">
        <v>782</v>
      </c>
    </row>
    <row r="171" spans="4:11" ht="20.100000000000001" customHeight="1" x14ac:dyDescent="0.2">
      <c r="D171" s="113" t="str">
        <v>Incineration</v>
      </c>
      <c r="E171" s="122" t="str">
        <v>Wood</v>
      </c>
      <c r="F171" s="225"/>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927</v>
      </c>
      <c r="J171" s="15" t="s">
        <v>782</v>
      </c>
      <c r="K171" s="15" t="s">
        <v>782</v>
      </c>
    </row>
    <row r="172" spans="4:11" ht="20.100000000000001" customHeight="1" x14ac:dyDescent="0.2">
      <c r="D172" s="113" t="str">
        <v>Incineration</v>
      </c>
      <c r="E172" s="122" t="str">
        <v>Sludge</v>
      </c>
      <c r="F172" s="225"/>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927</v>
      </c>
      <c r="J172" s="15" t="s">
        <v>782</v>
      </c>
      <c r="K172" s="15" t="s">
        <v>782</v>
      </c>
    </row>
    <row r="173" spans="4:11" ht="20.100000000000001" customHeight="1" x14ac:dyDescent="0.2">
      <c r="D173" s="113" t="str">
        <v>Incineration</v>
      </c>
      <c r="E173" s="122" t="str">
        <v>Paper and cardboard</v>
      </c>
      <c r="F173" s="225"/>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
      <c r="D174" s="113" t="str">
        <v>Incineration</v>
      </c>
      <c r="E174" s="122" t="str">
        <v>Textiles</v>
      </c>
      <c r="F174" s="225"/>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
      <c r="D175" s="113" t="str">
        <v>Incineration</v>
      </c>
      <c r="E175" s="122" t="str">
        <v>Rubber and leather</v>
      </c>
      <c r="F175" s="225"/>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
      <c r="D176" s="113" t="str">
        <v>Incineration</v>
      </c>
      <c r="E176" s="122" t="str">
        <v>Inert waste (including concrete, metal, plastic or glass)</v>
      </c>
      <c r="F176" s="225"/>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1:11" ht="20.100000000000001" customHeight="1" x14ac:dyDescent="0.2">
      <c r="D177" s="113" t="str">
        <v>Incineration</v>
      </c>
      <c r="E177" s="122" t="str">
        <v>Municipal solid waste</v>
      </c>
      <c r="F177" s="123"/>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1:11" ht="20.100000000000001" customHeight="1" x14ac:dyDescent="0.2">
      <c r="D178" s="113" t="str">
        <v>Incineration</v>
      </c>
      <c r="E178" s="122" t="str">
        <v>Commercial and industrial waste</v>
      </c>
      <c r="F178" s="123"/>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1:11" ht="20.100000000000001" customHeight="1" x14ac:dyDescent="0.2">
      <c r="D179" s="113" t="str">
        <v>Composting</v>
      </c>
      <c r="E179" s="122" t="str">
        <v>All organic waste</v>
      </c>
      <c r="F179" s="123"/>
      <c r="G179" s="15" t="s">
        <v>782</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1:11" ht="20.100000000000001" customHeight="1" x14ac:dyDescent="0.2">
      <c r="D180" s="113" t="str">
        <v>Composting</v>
      </c>
      <c r="E180" s="122" t="str">
        <v>Food waste (including animal carcasses, spoiled animal feed or crop)</v>
      </c>
      <c r="F180" s="123"/>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927</v>
      </c>
      <c r="J180" s="15" t="s">
        <v>782</v>
      </c>
      <c r="K180" s="15" t="s">
        <v>782</v>
      </c>
    </row>
    <row r="181" spans="1:11" ht="20.100000000000001" customHeight="1" x14ac:dyDescent="0.2">
      <c r="D181" s="113" t="str">
        <v>Composting</v>
      </c>
      <c r="E181" s="122" t="str">
        <v>Green waste (including crop residues or prunings)</v>
      </c>
      <c r="F181" s="123"/>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927</v>
      </c>
      <c r="J181" s="15" t="s">
        <v>782</v>
      </c>
      <c r="K181" s="15" t="s">
        <v>782</v>
      </c>
    </row>
    <row r="182" spans="1:11" ht="20.100000000000001" customHeight="1" x14ac:dyDescent="0.2">
      <c r="D182" s="113" t="str">
        <v>Composting</v>
      </c>
      <c r="E182" s="122" t="str">
        <v>Wood</v>
      </c>
      <c r="F182" s="123"/>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927</v>
      </c>
      <c r="J182" s="15" t="s">
        <v>782</v>
      </c>
      <c r="K182" s="15" t="s">
        <v>782</v>
      </c>
    </row>
    <row r="183" spans="1:11" ht="20.100000000000001" customHeight="1" x14ac:dyDescent="0.2">
      <c r="D183" s="113" t="str">
        <v>Composting</v>
      </c>
      <c r="E183" s="122" t="str">
        <v>Sludge</v>
      </c>
      <c r="F183" s="123"/>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927</v>
      </c>
      <c r="J183" s="15" t="s">
        <v>782</v>
      </c>
      <c r="K183" s="15" t="s">
        <v>782</v>
      </c>
    </row>
    <row r="184" spans="1:11" ht="20.100000000000001" customHeight="1" x14ac:dyDescent="0.2">
      <c r="D184" s="113" t="str">
        <v>Composting</v>
      </c>
      <c r="E184" s="122" t="str">
        <v>Paper and cardboard</v>
      </c>
      <c r="F184" s="123"/>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927</v>
      </c>
      <c r="J184" s="15" t="s">
        <v>782</v>
      </c>
      <c r="K184" s="15" t="s">
        <v>782</v>
      </c>
    </row>
    <row r="185" spans="1:11" ht="20.100000000000001" customHeight="1" x14ac:dyDescent="0.2">
      <c r="D185" s="113" t="str">
        <v>Anaerobic digestion</v>
      </c>
      <c r="E185" s="122" t="str">
        <v>All organic waste</v>
      </c>
      <c r="F185" s="123"/>
      <c r="G185" s="15" t="s">
        <v>782</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1:11" ht="20.100000000000001" customHeight="1" x14ac:dyDescent="0.2">
      <c r="D186" s="113" t="str">
        <v>Anaerobic digestion</v>
      </c>
      <c r="E186" s="122" t="str">
        <v>Food waste (including animal carcasses, spoiled animal feed or crop)</v>
      </c>
      <c r="F186" s="123"/>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927</v>
      </c>
      <c r="J186" s="15" t="s">
        <v>782</v>
      </c>
      <c r="K186" s="15" t="s">
        <v>782</v>
      </c>
    </row>
    <row r="187" spans="1:11" ht="20.100000000000001" customHeight="1" x14ac:dyDescent="0.2">
      <c r="D187" s="113" t="str">
        <v>Anaerobic digestion</v>
      </c>
      <c r="E187" s="122" t="str">
        <v>Green waste (including crop residues or prunings)</v>
      </c>
      <c r="F187" s="123"/>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927</v>
      </c>
      <c r="J187" s="15" t="s">
        <v>782</v>
      </c>
      <c r="K187" s="15" t="s">
        <v>782</v>
      </c>
    </row>
    <row r="188" spans="1:11" ht="20.100000000000001" customHeight="1" x14ac:dyDescent="0.2">
      <c r="A188" s="79" t="str">
        <f>HYPERLINK("#A1", "▲ Back to top")</f>
        <v>▲ Back to top</v>
      </c>
      <c r="D188" s="113" t="str">
        <v>Anaerobic digestion</v>
      </c>
      <c r="E188" s="122" t="str">
        <v>Wood</v>
      </c>
      <c r="F188" s="123"/>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927</v>
      </c>
      <c r="J188" s="15" t="s">
        <v>782</v>
      </c>
      <c r="K188" s="15" t="s">
        <v>782</v>
      </c>
    </row>
    <row r="189" spans="1:11" ht="20.100000000000001" customHeight="1" x14ac:dyDescent="0.2">
      <c r="D189" s="113" t="str">
        <v>Anaerobic digestion</v>
      </c>
      <c r="E189" s="122" t="str">
        <v>Sludge</v>
      </c>
      <c r="F189" s="123"/>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927</v>
      </c>
      <c r="J189" s="15" t="s">
        <v>782</v>
      </c>
      <c r="K189" s="15" t="s">
        <v>782</v>
      </c>
    </row>
    <row r="190" spans="1:11" ht="20.100000000000001" customHeight="1" x14ac:dyDescent="0.2">
      <c r="D190" s="113" t="str">
        <v>Anaerobic digestion</v>
      </c>
      <c r="E190" s="122" t="str">
        <v>Paper and cardboard</v>
      </c>
      <c r="F190" s="123"/>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927</v>
      </c>
      <c r="J190" s="15" t="s">
        <v>782</v>
      </c>
      <c r="K190" s="15" t="s">
        <v>782</v>
      </c>
    </row>
    <row r="192" spans="1:11" ht="20.100000000000001" customHeight="1" x14ac:dyDescent="0.2">
      <c r="D192" s="85" t="s">
        <v>928</v>
      </c>
      <c r="E192" s="86">
        <f>SUM(K157:K190)</f>
        <v>441.15000000000003</v>
      </c>
      <c r="F192" s="95"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D1C548DF-2A0F-4315-ACC7-86E11CD648AB}"/>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3A4E-4CF8-4B7A-B0C4-47C280F2F397}">
  <sheetPr>
    <tabColor rgb="FF008000"/>
  </sheetPr>
  <dimension ref="A1:K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574</v>
      </c>
    </row>
    <row r="2" spans="1:11" s="3" customFormat="1" ht="20.100000000000001" customHeight="1" x14ac:dyDescent="0.2">
      <c r="A2"/>
    </row>
    <row r="3" spans="1:11" ht="20.100000000000001" customHeight="1" x14ac:dyDescent="0.2">
      <c r="A3" s="5" t="str">
        <f>HYPERLINK("#'Home'!A1", "Home")</f>
        <v>Home</v>
      </c>
      <c r="C3" s="22"/>
      <c r="D3" s="22" t="s">
        <v>130</v>
      </c>
      <c r="E3" s="22"/>
      <c r="F3" s="22"/>
      <c r="G3" s="22"/>
      <c r="H3" s="22"/>
      <c r="I3" s="22"/>
      <c r="J3" s="22"/>
      <c r="K3" s="22"/>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
      <c r="D6" s="17" t="str" cm="1">
        <f t="array" ref="D6">Electricity_Equations.VEERG_14_1_1__1_LocationBasedScopeElectricityEmissions_Source()</f>
        <v>VEERG 2026: 14.1.1, Equation (1)</v>
      </c>
    </row>
    <row r="7" spans="1:11" ht="20.100000000000001" customHeight="1" x14ac:dyDescent="0.2">
      <c r="D7" s="25" t="str" cm="1">
        <f t="array" ref="D7">Electricity_Equations.VEERG_14_1_1__1_LocationBasedScopeElectricityEmissions_Variation()</f>
        <v>Added g variable to capture which grid electricity was purchased from</v>
      </c>
    </row>
    <row r="8" spans="1:11" ht="20.100000000000001" customHeight="1" x14ac:dyDescent="0.2">
      <c r="A8" s="7" t="s">
        <v>0</v>
      </c>
      <c r="D8" s="112" t="s">
        <v>328</v>
      </c>
      <c r="E8" s="112"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Poultry'!A1", "Poultry")</f>
        <v>Poultry</v>
      </c>
      <c r="D11" s="75" t="s">
        <v>329</v>
      </c>
      <c r="E11" s="1" t="str" cm="1">
        <f t="array" ref="E11">Electricity_Equations.VEERG_14_1_1__1_LocationBasedScopeElectricityEmissions_Variable()</f>
        <v>E_2elec</v>
      </c>
    </row>
    <row r="12" spans="1:11" ht="20.100000000000001" customHeight="1" x14ac:dyDescent="0.2">
      <c r="A12" s="5" t="str">
        <f>HYPERLINK("#'Input - Livestock sales'!A1", "Livestock sales")</f>
        <v>Livestock sales</v>
      </c>
      <c r="D12" s="75" t="s">
        <v>118</v>
      </c>
      <c r="E12" s="9" t="str" cm="1">
        <f t="array" ref="E12">Electricity_Equations.VEERG_14_1_1__1_LocationBasedScopeElectricityEmissions_Unit()</f>
        <v>t CO2e</v>
      </c>
    </row>
    <row r="13" spans="1:11" ht="20.100000000000001" customHeight="1" x14ac:dyDescent="0.2">
      <c r="A13" s="5" t="str">
        <f>HYPERLINK("#'Input - Poultry purchases'!A1", "Poultry purchases")</f>
        <v>Poultry purchases</v>
      </c>
    </row>
    <row r="14" spans="1:11" ht="20.100000000000001" customHeight="1" x14ac:dyDescent="0.2">
      <c r="A14" s="5" t="str">
        <f>HYPERLINK("#'Input - Fuel'!A1", "Fuel")</f>
        <v>Fuel</v>
      </c>
      <c r="D14" s="113" t="str" cm="1">
        <f t="array" ref="D14:E16">_xlfn.CHOOSECOLS(Electricity_Equations.VEERG_14_1_1__1_LocationBasedScopeElectricityEmissions_Arguments(),1,2)</f>
        <v>Q_elec</v>
      </c>
      <c r="E14" s="122" t="str">
        <v>amount of electricity purchased from the grid</v>
      </c>
      <c r="F14" s="123"/>
      <c r="G14" s="113" t="str" cm="1">
        <f t="array" ref="G14:H16">_xlfn.CHOOSECOLS(Electricity_Equations.VEERG_14_1_1__1_LocationBasedScopeElectricityEmissions_Arguments(),3,4)</f>
        <v>kWh</v>
      </c>
      <c r="H14" s="114" t="str">
        <v>Input</v>
      </c>
      <c r="I14" s="122">
        <f>X_Cell_Electricity_Location_AmountPurchasedInkWh</f>
        <v>30000</v>
      </c>
      <c r="J14" s="123"/>
    </row>
    <row r="15" spans="1:11" ht="20.100000000000001" customHeight="1" x14ac:dyDescent="0.2">
      <c r="A15" s="5" t="str">
        <f>HYPERLINK("#'Input - Electricity'!A1", "Electricity")</f>
        <v>Electricity</v>
      </c>
      <c r="D15" s="113" t="str">
        <v>EF_2elec</v>
      </c>
      <c r="E15" s="122" t="str">
        <v>location-based Scope 2 emission factor for electricity</v>
      </c>
      <c r="F15" s="123"/>
      <c r="G15" s="113" t="str">
        <v>kg CO2e/kWh</v>
      </c>
      <c r="H15" s="115" t="str">
        <v>Constant</v>
      </c>
      <c r="I15" s="122" cm="1">
        <f t="array" ref="I15">Common_InputFunctions.Utility_LookupValueInTableNumber(I16,Table_SourceData_ElectricityEFs[State, Territory or grid description],Table_SourceData_ElectricityEFs[Scope 2 Emission Factors (kg CO2-e/kWh)])</f>
        <v>0.56000000000000005</v>
      </c>
      <c r="J15" s="123"/>
    </row>
    <row r="16" spans="1:11" ht="20.100000000000001" customHeight="1" x14ac:dyDescent="0.2">
      <c r="A16" s="5" t="str">
        <f>HYPERLINK("#'Input - Common farm inputs'!A1", "Common farm inputs")</f>
        <v>Common farm inputs</v>
      </c>
      <c r="D16" s="113" t="str">
        <v>g</v>
      </c>
      <c r="E16" s="122" t="str">
        <v>Grid electricity was purchased from</v>
      </c>
      <c r="F16" s="123"/>
      <c r="G16" s="113" t="str">
        <v/>
      </c>
      <c r="H16" s="114" t="str">
        <v>Input</v>
      </c>
      <c r="I16" s="122" t="str">
        <f>X_Cell_Electricity_Location_GridElectricityPurchasedFrom</f>
        <v>Western Australia - North Western Interconnected System (NWIS)</v>
      </c>
      <c r="J16" s="123"/>
    </row>
    <row r="17" spans="1:11" ht="20.100000000000001" customHeight="1" x14ac:dyDescent="0.2">
      <c r="A17" s="5" t="str">
        <f>HYPERLINK("#'Input - Livestock farm Inputs'!A1", "Livestock farm Inputs")</f>
        <v>Livestock farm Inputs</v>
      </c>
    </row>
    <row r="18" spans="1:11" ht="20.100000000000001" customHeight="1" x14ac:dyDescent="0.2">
      <c r="A18" s="5" t="str">
        <f>HYPERLINK("#'Input - Freight'!A1", "Freight")</f>
        <v>Freight</v>
      </c>
      <c r="D18" s="85" t="s">
        <v>575</v>
      </c>
      <c r="E18" s="86" cm="1">
        <f t="array" ref="E18">Electricity_Equations.VEERG_14_1_1__1_LocationBasedScopeElectricityEmissions(I14,I15)</f>
        <v>16.8</v>
      </c>
      <c r="F18" s="95" t="str">
        <f>$E$12</f>
        <v>t CO2e</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row>
    <row r="21" spans="1:11" ht="20.100000000000001" customHeight="1" x14ac:dyDescent="0.2">
      <c r="A21" s="5" t="str">
        <f>HYPERLINK("#'Input - Data quality'!A1", "Data quality")</f>
        <v>Data quality</v>
      </c>
      <c r="C21" s="83"/>
      <c r="D21" s="83"/>
      <c r="E21" s="83"/>
      <c r="F21" s="83"/>
      <c r="G21" s="83"/>
      <c r="H21" s="83"/>
      <c r="I21" s="83"/>
      <c r="J21" s="83"/>
      <c r="K21" s="83"/>
    </row>
    <row r="22" spans="1:11" ht="20.100000000000001" customHeight="1" x14ac:dyDescent="0.2">
      <c r="A22" s="5" t="str">
        <f>HYPERLINK("#'Input - Fert Prod System'!A1", "Fert Prod System")</f>
        <v>Fert Prod System</v>
      </c>
      <c r="D22" s="2" t="str" cm="1">
        <f t="array" ref="D22">Electricity_Equations.VEERG_14_1_2__1_MarketBasedScopeElectricityEmissions_Title()</f>
        <v>Market-based Scope 2 emissions from purchased electricity</v>
      </c>
    </row>
    <row r="23" spans="1:11" ht="20.100000000000001" customHeight="1" x14ac:dyDescent="0.2">
      <c r="A23" s="5" t="str">
        <f>HYPERLINK("#'Input - Fertiliser'!A1", "Fertiliser")</f>
        <v>Fertiliser</v>
      </c>
      <c r="D23" s="17" t="str" cm="1">
        <f t="array" ref="D23">Electricity_Equations.VEERG_14_1_2__1_MarketBasedScopeElectricityEmissions_Source()</f>
        <v>VEERG 2026: 14.1.2, Equation (1)</v>
      </c>
    </row>
    <row r="24" spans="1:11" ht="20.100000000000001" customHeight="1" x14ac:dyDescent="0.2">
      <c r="D24" s="25"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
      <c r="D25" s="112" t="s">
        <v>328</v>
      </c>
      <c r="E25" s="112"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
      <c r="A26" s="6" t="s">
        <v>2</v>
      </c>
    </row>
    <row r="27" spans="1:11" ht="20.100000000000001" customHeight="1" x14ac:dyDescent="0.2">
      <c r="A27" s="5" t="str">
        <f>HYPERLINK("#'4.6.1.1-2 Methane'!A1", "4.6.1.1-2 Manure Methane")</f>
        <v>4.6.1.1-2 Manure Methane</v>
      </c>
    </row>
    <row r="28" spans="1:11" ht="20.100000000000001" customHeight="1" x14ac:dyDescent="0.2">
      <c r="A28" s="5" t="str">
        <f>HYPERLINK("#'4.6.1.3-4 Direct N20'!A1", "4.6.1.3-4 Manure Direct N2O")</f>
        <v>4.6.1.3-4 Manure Direct N2O</v>
      </c>
      <c r="D28" s="75" t="s">
        <v>329</v>
      </c>
      <c r="E28" s="1" t="str" cm="1">
        <f t="array" ref="E28">Electricity_Equations.VEERG_14_1_2__1_MarketBasedScopeElectricityEmissions_Variable()</f>
        <v>E_2elec</v>
      </c>
    </row>
    <row r="29" spans="1:11" ht="20.100000000000001" customHeight="1" x14ac:dyDescent="0.2">
      <c r="A29" s="5" t="str">
        <f>HYPERLINK("#'4.6.1.5-6 Atmos Dep'!A1", "4.6.1.5-6 Manure Atmos Dep")</f>
        <v>4.6.1.5-6 Manure Atmos Dep</v>
      </c>
      <c r="D29" s="75" t="s">
        <v>118</v>
      </c>
      <c r="E29" s="9" t="str" cm="1">
        <f t="array" ref="E29">Electricity_Equations.VEERG_14_1_2__1_MarketBasedScopeElectricityEmissions_Unit()</f>
        <v>t CO2e</v>
      </c>
    </row>
    <row r="30" spans="1:11" ht="20.100000000000001" customHeight="1" x14ac:dyDescent="0.2">
      <c r="A30" s="5" t="str">
        <f>HYPERLINK("#'4.6.1.7-8 Leaching and runoff'!A1", "4.6.1.7-8 Manure Leaching and runoff")</f>
        <v>4.6.1.7-8 Manure Leaching and runoff</v>
      </c>
    </row>
    <row r="31" spans="1:11" ht="20.100000000000001" customHeight="1" x14ac:dyDescent="0.2">
      <c r="A31" s="5" t="str">
        <f>HYPERLINK("#'4.6.1.9 Manure applied to soils'!A1", "4.6.1.9 Manure applied to soils")</f>
        <v>4.6.1.9 Manure applied to soils</v>
      </c>
      <c r="D31" s="113" t="str" cm="1">
        <f t="array" ref="D31:E37">_xlfn.CHOOSECOLS(Electricity_Equations.VEERG_14_1_2__1_MarketBasedScopeElectricityEmissions_Arguments(),1,2)</f>
        <v>Q_elec</v>
      </c>
      <c r="E31" s="122" t="str">
        <v>amount of electricity purchased from the grid</v>
      </c>
      <c r="F31" s="136"/>
      <c r="G31" s="136"/>
      <c r="H31" s="113" t="str" cm="1">
        <f t="array" ref="H31:I37">_xlfn.CHOOSECOLS(Electricity_Equations.VEERG_14_1_2__1_MarketBasedScopeElectricityEmissions_Arguments(),3,4)</f>
        <v>kWh</v>
      </c>
      <c r="I31" s="114" t="str">
        <v>Input</v>
      </c>
      <c r="J31" s="113">
        <f>X_Cell_Electricity_Market_AmountPurchasedExcludingGreenPower</f>
        <v>30000</v>
      </c>
    </row>
    <row r="32" spans="1:11" ht="20.100000000000001" customHeight="1" x14ac:dyDescent="0.2">
      <c r="A32" s="5" t="str">
        <f>HYPERLINK("#'4.6.1.10-11 Soil direct N2O'!A1", "4.6.1.10-11 Soil direct N2O")</f>
        <v>4.6.1.10-11 Soil direct N2O</v>
      </c>
      <c r="D32" s="113" t="str">
        <v>RPP</v>
      </c>
      <c r="E32" s="122" t="str">
        <v>Renewable Power Percentage under the Large-scale Renewable Energy Target (LRET)</v>
      </c>
      <c r="F32" s="136"/>
      <c r="G32" s="136"/>
      <c r="H32" s="113" t="str">
        <v>per cent</v>
      </c>
      <c r="I32" s="114" t="str">
        <v>Input</v>
      </c>
      <c r="J32" s="146">
        <f>X_Cell_Electricity_Market_RenewablePowerPercentage</f>
        <v>0.1</v>
      </c>
    </row>
    <row r="33" spans="1:10" ht="20.100000000000001" customHeight="1" x14ac:dyDescent="0.2">
      <c r="A33" s="5" t="str">
        <f>HYPERLINK("#'4.6.1.12-13 Soil atmos dep'!A1", "4.6.1.12-13 Soil atmos dep")</f>
        <v>4.6.1.12-13 Soil atmos dep</v>
      </c>
      <c r="D33" s="113" t="str">
        <v>JRPP</v>
      </c>
      <c r="E33" s="122" t="str">
        <v>jurisdictional renewable power percentage for the applicable period (ACT only)</v>
      </c>
      <c r="F33" s="136"/>
      <c r="G33" s="136"/>
      <c r="H33" s="113" t="str">
        <v>per cent</v>
      </c>
      <c r="I33" s="114" t="str">
        <v>Input</v>
      </c>
      <c r="J33" s="146" t="str">
        <f>IF(J37="ACT", X_Cell_Electricity_Market_JurisdictionalRenewablePowerPercentage, "N/A")</f>
        <v>N/A</v>
      </c>
    </row>
    <row r="34" spans="1:10" ht="20.100000000000001" customHeight="1" x14ac:dyDescent="0.2">
      <c r="A34" s="5" t="str">
        <f>HYPERLINK("#'4.6.1.14-15 Soil leach runoff'!A1", "4.6.1.14-15 Soil leach runoff")</f>
        <v>4.6.1.14-15 Soil leach runoff</v>
      </c>
      <c r="D34" s="113" t="str">
        <v>REC_surrendered</v>
      </c>
      <c r="E34" s="122" t="str">
        <v>Renewable Energy Certificates voluntarily surrendered in the reporting year</v>
      </c>
      <c r="F34" s="136"/>
      <c r="G34" s="136"/>
      <c r="H34" s="113" t="str">
        <v>MWh</v>
      </c>
      <c r="I34" s="114" t="str">
        <v>Input</v>
      </c>
      <c r="J34" s="113">
        <f>(X_Cell_Electricity_Market_AmountPurchasedGreenPower*10^-3)+X_Cell_TotalElegibleVoluntarilySurrenderedRECs</f>
        <v>15</v>
      </c>
    </row>
    <row r="35" spans="1:10" ht="20.100000000000001" customHeight="1" x14ac:dyDescent="0.2">
      <c r="A35" s="5" t="str">
        <f>HYPERLINK("#'8.1.1.1-2 Transport fuel'!A1", "8.1.1.1-2 Transport fuel")</f>
        <v>8.1.1.1-2 Transport fuel</v>
      </c>
      <c r="D35" s="113" t="str">
        <v>REC_onsite</v>
      </c>
      <c r="E35" s="122" t="str">
        <v>Renewable Energy Certificates issued for electricity produced on-site during the year and consumed by the entity</v>
      </c>
      <c r="F35" s="136"/>
      <c r="G35" s="136"/>
      <c r="H35" s="113" t="str">
        <v>MWh</v>
      </c>
      <c r="I35" s="114" t="str">
        <v>Input</v>
      </c>
      <c r="J35" s="113">
        <f>X_Cell_TotalElegibleRECsForElectricityProducedOnSite</f>
        <v>0</v>
      </c>
    </row>
    <row r="36" spans="1:10" ht="20.100000000000001" customHeight="1" x14ac:dyDescent="0.2">
      <c r="A36" s="5" t="str">
        <f>HYPERLINK("#'8.2.1.1-2 Stationary fuel'!A1", "8.2.1.1-2 Stationary fuel")</f>
        <v>8.2.1.1-2 Stationary fuel</v>
      </c>
      <c r="D36" s="113" t="str">
        <v>EF_RMF2elec</v>
      </c>
      <c r="E36" s="122" t="str">
        <v>Scope 2 residual mix emission factor for electricity</v>
      </c>
      <c r="F36" s="136"/>
      <c r="G36" s="136"/>
      <c r="H36" s="113" t="str">
        <v>kg CO2e/kWh</v>
      </c>
      <c r="I36" s="115" t="str">
        <v>Constant</v>
      </c>
      <c r="J36" s="113" cm="1">
        <f t="array" ref="J36">Table_SourceData_ElectricityEFsMarketBased[Scope 2 EF (kg CO2-e/kWh)]</f>
        <v>0.81</v>
      </c>
    </row>
    <row r="37" spans="1:10" ht="20.100000000000001" customHeight="1" x14ac:dyDescent="0.2">
      <c r="A37" s="5" t="str">
        <f>HYPERLINK("#'10.1.1-2 Solid waste treatment'!A1", "10.1.1.1-2 Solid waste")</f>
        <v>10.1.1.1-2 Solid waste</v>
      </c>
      <c r="D37" s="113" t="str">
        <v>i</v>
      </c>
      <c r="E37" s="122" t="str">
        <v>state</v>
      </c>
      <c r="F37" s="136"/>
      <c r="G37" s="123"/>
      <c r="H37" s="113" t="str">
        <v/>
      </c>
      <c r="I37" s="114" t="str">
        <v>Input</v>
      </c>
      <c r="J37" s="113" t="str">
        <f>X_Cell_Site_State</f>
        <v>Western Australia</v>
      </c>
    </row>
    <row r="38" spans="1:10" ht="20.100000000000001" customHeight="1" x14ac:dyDescent="0.2">
      <c r="A38" s="117" t="str">
        <f>HYPERLINK("#'14.1.1-2 Purchased electricity'!A1", "14.1.1-2 Purchased electricity")</f>
        <v>14.1.1-2 Purchased electricity</v>
      </c>
    </row>
    <row r="39" spans="1:10" ht="20.100000000000001" customHeight="1" x14ac:dyDescent="0.2">
      <c r="A39" s="5" t="str">
        <f>HYPERLINK("#'15 Scope 3'!A1", "15 Scope 3")</f>
        <v>15 Scope 3</v>
      </c>
      <c r="D39" s="85" t="s">
        <v>575</v>
      </c>
      <c r="E39" s="86" cm="1">
        <f t="array" ref="E39">Electricity_Equations.VEERG_14_1_2__1_MarketBasedScopeElectricityEmissionsVariation(J31,J32,IF(ISNUMBER(J33), J33, 0),J34,J35,J36)</f>
        <v>9.7200000000000006</v>
      </c>
      <c r="F39" s="95" t="str">
        <f>E29</f>
        <v>t CO2e</v>
      </c>
    </row>
    <row r="40" spans="1:10" ht="20.100000000000001" customHeight="1" x14ac:dyDescent="0.2">
      <c r="A40" s="5" t="str">
        <f>HYPERLINK("#'Calcs - Manure sent off-site'!A1", "Calcs - Manure sent off-site")</f>
        <v>Calcs - Manure sent off-site</v>
      </c>
      <c r="H40" s="1" t="s">
        <v>313</v>
      </c>
    </row>
    <row r="41" spans="1:10" ht="20.100000000000001" customHeight="1" x14ac:dyDescent="0.2">
      <c r="A41" s="5" t="str">
        <f>HYPERLINK("#'5.1.1.1-2 Inorganic fert N2O'!A1", "5.1.1.1-2 Inorganic fert N2O")</f>
        <v>5.1.1.1-2 Inorganic fert N2O</v>
      </c>
    </row>
    <row r="42" spans="1:10" ht="20.100000000000001" customHeight="1" x14ac:dyDescent="0.2">
      <c r="A42" s="5" t="str">
        <f>HYPERLINK("#'5.1.1.3-4 Inorganic fert CO2'!A1", "5.1.1.3-4 Inorganic fert CO2")</f>
        <v>5.1.1.3-4 Inorganic fert CO2</v>
      </c>
    </row>
    <row r="43" spans="1:10" ht="20.100000000000001" customHeight="1" x14ac:dyDescent="0.2">
      <c r="A43" s="5" t="str">
        <f>HYPERLINK("#'5.2.1.1-2 Organic Fert N2O'!A1", "5.2.1.1-2 Organic Fert N2O")</f>
        <v>5.2.1.1-2 Organic Fert N2O</v>
      </c>
    </row>
    <row r="44" spans="1:10" ht="20.100000000000001" customHeight="1" x14ac:dyDescent="0.2">
      <c r="A44" s="5" t="str">
        <f>HYPERLINK("#'5.3.1.1-2 Lime CO2'!A1", "5.3.1.1-2 Lime CO2")</f>
        <v>5.3.1.1-2 Lime CO2</v>
      </c>
      <c r="E44" s="142"/>
    </row>
    <row r="45" spans="1:10" ht="20.100000000000001" customHeight="1" x14ac:dyDescent="0.2">
      <c r="A45" s="5" t="str">
        <f>HYPERLINK("#'5.4.1.1-4 Atmos deposition'!A1", "5.4.1.1-4 Atmos deposition")</f>
        <v>5.4.1.1-4 Atmos deposition</v>
      </c>
    </row>
    <row r="46" spans="1:10"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0AD661C5-5D89-4A2A-94A0-CB68FA5CFBA7}"/>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1B59-945D-420D-B2C4-4F02D0F81518}">
  <sheetPr>
    <tabColor theme="9" tint="-0.249977111117893"/>
  </sheetPr>
  <dimension ref="A1:AO6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0" customFormat="1" ht="30" customHeight="1" x14ac:dyDescent="0.35">
      <c r="A1" s="10" t="e" vm="1">
        <v>#VALUE!</v>
      </c>
      <c r="C1" s="20" t="s">
        <v>1032</v>
      </c>
    </row>
    <row r="2" spans="1:41" s="3" customFormat="1" ht="20.100000000000001" customHeight="1" x14ac:dyDescent="0.2">
      <c r="A2"/>
    </row>
    <row r="3" spans="1:4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
      <c r="D6" s="17" t="str" cm="1">
        <f t="array" ref="D6">Scope3_Equations.VEERG_15_1_1_1__1_EmissionsFromPurchasedLivestock_Source()</f>
        <v>VEERG 2026: 15.1.1.1, Equation (1)</v>
      </c>
    </row>
    <row r="7" spans="1:41" ht="20.100000000000001" customHeight="1" x14ac:dyDescent="0.2">
      <c r="D7" s="112" t="s">
        <v>328</v>
      </c>
      <c r="E7" s="112" t="str" cm="1">
        <f t="array" aca="1" ref="E7" ca="1">Common_InputFunctions.Utility_DisplayFunctionName(J23)</f>
        <v>=Scope3_Equations.VEERG_15_1_1_1__1_EmissionsFromPurchasedLivestock</v>
      </c>
    </row>
    <row r="8" spans="1:41" ht="20.100000000000001" customHeight="1" x14ac:dyDescent="0.2">
      <c r="A8" s="7" t="s">
        <v>0</v>
      </c>
    </row>
    <row r="9" spans="1:41" ht="20.100000000000001" customHeight="1" x14ac:dyDescent="0.2">
      <c r="A9" s="5" t="str">
        <f>HYPERLINK("#'Input - Enterprise'!A1", "Enterprise")</f>
        <v>Enterprise</v>
      </c>
      <c r="H9" s="112"/>
    </row>
    <row r="10" spans="1:41" ht="20.100000000000001" customHeight="1" x14ac:dyDescent="0.2">
      <c r="A10" s="5" t="str">
        <f>HYPERLINK("#'Input - Site'!A1", "Site")</f>
        <v>Site</v>
      </c>
      <c r="D10" s="75" t="s">
        <v>329</v>
      </c>
      <c r="E10" s="1" t="str" cm="1">
        <f t="array" ref="E10">Scope3_Equations.VEERG_15_1_1_1__1_EmissionsFromPurchasedLivestock_Variable()</f>
        <v>E</v>
      </c>
    </row>
    <row r="11" spans="1:41" ht="20.100000000000001" customHeight="1" x14ac:dyDescent="0.2">
      <c r="A11" s="5" t="str">
        <f>HYPERLINK("#'Input - Poultry'!A1", "Poultry")</f>
        <v>Poultry</v>
      </c>
      <c r="D11" s="75" t="s">
        <v>118</v>
      </c>
      <c r="E11" s="9" t="str" cm="1">
        <f t="array" ref="E11">Scope3_Equations.VEERG_15_1_1_1__1_EmissionsFromPurchasedLivestock_Unit()</f>
        <v>t CO2e</v>
      </c>
    </row>
    <row r="12" spans="1:41" ht="20.100000000000001" customHeight="1" x14ac:dyDescent="0.2">
      <c r="A12" s="5" t="str">
        <f>HYPERLINK("#'Input - Livestock sales'!A1", "Livestock sales")</f>
        <v>Livestock sales</v>
      </c>
    </row>
    <row r="13" spans="1:41" ht="20.100000000000001" customHeight="1" x14ac:dyDescent="0.2">
      <c r="A13" s="5" t="str">
        <f>HYPERLINK("#'Input - Poultry purchases'!A1", "Poultry purchases")</f>
        <v>Poultry purchases</v>
      </c>
      <c r="D13" s="113" t="str" cm="1">
        <f t="array" ref="D13:E17">_xlfn.CHOOSECOLS(Scope3_Equations.VEERG_15_1_1_1__1_EmissionsFromPurchasedLivestock_Arguments(),1,2)</f>
        <v>N_co</v>
      </c>
      <c r="E13" s="122" t="str">
        <v>number of animals purchased in livestock type c from origin o</v>
      </c>
      <c r="F13" s="123"/>
      <c r="G13" s="113" t="str" cm="1">
        <f t="array" ref="G13:H17">_xlfn.CHOOSECOLS(Scope3_Equations.VEERG_15_1_1_1__1_EmissionsFromPurchasedLivestock_Arguments(),3,4)</f>
        <v>head</v>
      </c>
      <c r="H13" s="249" t="str">
        <v>Input</v>
      </c>
    </row>
    <row r="14" spans="1:41" ht="20.100000000000001" customHeight="1" x14ac:dyDescent="0.2">
      <c r="A14" s="5" t="str">
        <f>HYPERLINK("#'Input - Fuel'!A1", "Fuel")</f>
        <v>Fuel</v>
      </c>
      <c r="D14" s="113" t="str">
        <v>W_co</v>
      </c>
      <c r="E14" s="122" t="str">
        <v>average liveweight of purchased livestock at point of purchase</v>
      </c>
      <c r="F14" s="123"/>
      <c r="G14" s="113" t="str">
        <v>kg/head</v>
      </c>
      <c r="H14" s="249" t="str">
        <v>Input</v>
      </c>
    </row>
    <row r="15" spans="1:41" ht="20.100000000000001" customHeight="1" x14ac:dyDescent="0.2">
      <c r="A15" s="5" t="str">
        <f>HYPERLINK("#'Input - Electricity'!A1", "Electricity")</f>
        <v>Electricity</v>
      </c>
      <c r="D15" s="113" t="str">
        <v>EF_co</v>
      </c>
      <c r="E15" s="122" t="str">
        <v>emission factor per livestock type and origin</v>
      </c>
      <c r="F15" s="123"/>
      <c r="G15" s="113" t="str">
        <v>kg CO2e/kg</v>
      </c>
      <c r="H15" s="115" t="str">
        <v>Constant</v>
      </c>
    </row>
    <row r="16" spans="1:41" ht="20.100000000000001" customHeight="1" x14ac:dyDescent="0.2">
      <c r="A16" s="5" t="str">
        <f>HYPERLINK("#'Input - Common farm inputs'!A1", "Common farm inputs")</f>
        <v>Common farm inputs</v>
      </c>
      <c r="D16" s="113" t="str">
        <v>c</v>
      </c>
      <c r="E16" s="122" t="str">
        <v>livestock type</v>
      </c>
      <c r="F16" s="123"/>
      <c r="G16" s="113" t="str">
        <v/>
      </c>
      <c r="H16" s="249" t="str">
        <v>Input</v>
      </c>
    </row>
    <row r="17" spans="1:16" ht="20.100000000000001" customHeight="1" x14ac:dyDescent="0.2">
      <c r="A17" s="5" t="str">
        <f>HYPERLINK("#'Input - Livestock farm Inputs'!A1", "Livestock farm Inputs")</f>
        <v>Livestock farm Inputs</v>
      </c>
      <c r="D17" s="113" t="str">
        <v>o</v>
      </c>
      <c r="E17" s="122" t="str">
        <v>origin</v>
      </c>
      <c r="F17" s="123"/>
      <c r="G17" s="113" t="str">
        <v/>
      </c>
      <c r="H17" s="249" t="str">
        <v>Input</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5" t="s">
        <v>1033</v>
      </c>
      <c r="E19" s="37"/>
      <c r="F19" s="38"/>
    </row>
    <row r="20" spans="1:16" ht="20.100000000000001" customHeight="1" x14ac:dyDescent="0.2">
      <c r="A20" s="5" t="str">
        <f>HYPERLINK("#'Input - Manure sent off-site'!A1", "Manure sent off-site")</f>
        <v>Manure sent off-site</v>
      </c>
    </row>
    <row r="21" spans="1:16" ht="20.100000000000001" customHeight="1" x14ac:dyDescent="0.2">
      <c r="A21" s="5" t="str">
        <f>HYPERLINK("#'Input - Data quality'!A1", "Data quality")</f>
        <v>Data quality</v>
      </c>
      <c r="D21" s="244" t="s">
        <v>1034</v>
      </c>
    </row>
    <row r="22" spans="1:16" ht="20.100000000000001" customHeight="1" x14ac:dyDescent="0.2">
      <c r="A22" s="5" t="str">
        <f>HYPERLINK("#'Input - Fert Prod System'!A1", "Fert Prod System")</f>
        <v>Fert Prod System</v>
      </c>
      <c r="D22" s="78" t="s">
        <v>1035</v>
      </c>
      <c r="E22" s="250" t="s">
        <v>1036</v>
      </c>
      <c r="F22" s="250" t="s">
        <v>1037</v>
      </c>
      <c r="G22" s="250" t="s">
        <v>1038</v>
      </c>
      <c r="H22" s="250" t="s">
        <v>1039</v>
      </c>
      <c r="I22" s="120" t="s">
        <v>1040</v>
      </c>
      <c r="J22" s="120" t="s">
        <v>1041</v>
      </c>
      <c r="K22" s="250" t="s">
        <v>1042</v>
      </c>
      <c r="L22" s="78" t="s">
        <v>1043</v>
      </c>
      <c r="M22" s="120" t="s">
        <v>1044</v>
      </c>
      <c r="N22" s="78" t="s">
        <v>1045</v>
      </c>
      <c r="O22" s="78" t="s">
        <v>1046</v>
      </c>
      <c r="P22" s="78" t="s">
        <v>1047</v>
      </c>
    </row>
    <row r="23" spans="1:16" ht="20.100000000000001" customHeight="1" x14ac:dyDescent="0.2">
      <c r="A23" s="5" t="str">
        <f>HYPERLINK("#'Input - Fertiliser'!A1", "Fertiliser")</f>
        <v>Fertiliser</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51" cm="1">
        <f t="array" ref="J23">Scope3_Equations.VEERG_15_1_1_1__1_EmissionsFromPurchasedLivestock(G23,H23,I23)</f>
        <v>0</v>
      </c>
      <c r="K23" s="15"/>
      <c r="L23" s="74">
        <v>20</v>
      </c>
      <c r="M23" s="251" cm="1">
        <f t="array" ref="M23">Scope3_Equations.VEERG_15_1_1_1__1_EmissionsFromPurchasedLivestock(G23,K23,IF(L23, L23, I23))</f>
        <v>0</v>
      </c>
      <c r="N23" s="33" t="s">
        <v>1048</v>
      </c>
      <c r="O23" s="13" t="s">
        <v>1049</v>
      </c>
      <c r="P23" t="s">
        <v>1050</v>
      </c>
    </row>
    <row r="24" spans="1:16" ht="20.100000000000001" customHeight="1" x14ac:dyDescent="0.2">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51" cm="1">
        <f t="array" ref="J24">Scope3_Equations.VEERG_15_1_1_1__1_EmissionsFromPurchasedLivestock(G24,H24,I24)</f>
        <v>0</v>
      </c>
      <c r="K24" s="15"/>
      <c r="L24" s="74">
        <v>13</v>
      </c>
      <c r="M24" s="251" cm="1">
        <f t="array" ref="M24">Scope3_Equations.VEERG_15_1_1_1__1_EmissionsFromPurchasedLivestock(G24,K24,IF(L24, L24, I24))</f>
        <v>0</v>
      </c>
      <c r="N24" s="33"/>
      <c r="O24" s="13"/>
      <c r="P24" s="33"/>
    </row>
    <row r="25" spans="1:16" ht="20.100000000000001" customHeight="1" x14ac:dyDescent="0.2">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51" cm="1">
        <f t="array" ref="J25">Scope3_Equations.VEERG_15_1_1_1__1_EmissionsFromPurchasedLivestock(G25,H25,I25)</f>
        <v>0</v>
      </c>
      <c r="K25" s="15"/>
      <c r="L25" s="74"/>
      <c r="M25" s="251" cm="1">
        <f t="array" ref="M25">Scope3_Equations.VEERG_15_1_1_1__1_EmissionsFromPurchasedLivestock(G25,K25,IF(L25, L25, I25))</f>
        <v>0</v>
      </c>
      <c r="N25" s="33"/>
      <c r="O25" s="13"/>
      <c r="P25" s="33"/>
    </row>
    <row r="26" spans="1:16" ht="20.100000000000001" customHeight="1" x14ac:dyDescent="0.2">
      <c r="A26" s="6" t="s">
        <v>2</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51" cm="1">
        <f t="array" ref="J26">Scope3_Equations.VEERG_15_1_1_1__1_EmissionsFromPurchasedLivestock(G26,H26,I26)</f>
        <v>0</v>
      </c>
      <c r="K26" s="15"/>
      <c r="L26" s="74"/>
      <c r="M26" s="251" cm="1">
        <f t="array" ref="M26">Scope3_Equations.VEERG_15_1_1_1__1_EmissionsFromPurchasedLivestock(G26,K26,IF(L26, L26, I26))</f>
        <v>0</v>
      </c>
      <c r="N26" s="33"/>
      <c r="O26" s="13"/>
      <c r="P26" s="33"/>
    </row>
    <row r="27" spans="1:16" ht="20.100000000000001" customHeight="1" x14ac:dyDescent="0.2">
      <c r="A27" s="5" t="str">
        <f>HYPERLINK("#'4.6.1.1-2 Methane'!A1", "4.6.1.1-2 Manure Methane")</f>
        <v>4.6.1.1-2 Manure Methane</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51" cm="1">
        <f t="array" ref="J27">Scope3_Equations.VEERG_15_1_1_1__1_EmissionsFromPurchasedLivestock(G27,H27,I27)</f>
        <v>0</v>
      </c>
      <c r="K27" s="15"/>
      <c r="L27" s="74"/>
      <c r="M27" s="251" cm="1">
        <f t="array" ref="M27">Scope3_Equations.VEERG_15_1_1_1__1_EmissionsFromPurchasedLivestock(G27,K27,IF(L27, L27, I27))</f>
        <v>0</v>
      </c>
      <c r="N27" s="33"/>
      <c r="O27" s="13"/>
      <c r="P27" s="33"/>
    </row>
    <row r="28" spans="1:16" ht="20.100000000000001" customHeight="1" x14ac:dyDescent="0.2">
      <c r="A28" s="5" t="str">
        <f>HYPERLINK("#'4.6.1.3-4 Direct N20'!A1", "4.6.1.3-4 Manure Direct N2O")</f>
        <v>4.6.1.3-4 Manure Direct N2O</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51" cm="1">
        <f t="array" ref="J28">Scope3_Equations.VEERG_15_1_1_1__1_EmissionsFromPurchasedLivestock(G28,H28,I28)</f>
        <v>0</v>
      </c>
      <c r="K28" s="15"/>
      <c r="L28" s="74"/>
      <c r="M28" s="251" cm="1">
        <f t="array" ref="M28">Scope3_Equations.VEERG_15_1_1_1__1_EmissionsFromPurchasedLivestock(G28,K28,IF(L28, L28, I28))</f>
        <v>0</v>
      </c>
      <c r="N28" s="33"/>
      <c r="O28" s="13"/>
      <c r="P28" s="33"/>
    </row>
    <row r="29" spans="1:16" ht="20.100000000000001" customHeight="1" x14ac:dyDescent="0.2">
      <c r="A29" s="5" t="str">
        <f>HYPERLINK("#'4.6.1.5-6 Atmos Dep'!A1", "4.6.1.5-6 Manure Atmos Dep")</f>
        <v>4.6.1.5-6 Manure Atmos Dep</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51" cm="1">
        <f t="array" ref="J29">Scope3_Equations.VEERG_15_1_1_1__1_EmissionsFromPurchasedLivestock(G29,H29,I29)</f>
        <v>0</v>
      </c>
      <c r="K29" s="15"/>
      <c r="L29" s="74"/>
      <c r="M29" s="251" cm="1">
        <f t="array" ref="M29">Scope3_Equations.VEERG_15_1_1_1__1_EmissionsFromPurchasedLivestock(G29,K29,IF(L29, L29, I29))</f>
        <v>0</v>
      </c>
      <c r="N29" s="33"/>
      <c r="O29" s="13"/>
      <c r="P29" s="33"/>
    </row>
    <row r="30" spans="1:16" ht="20.100000000000001" customHeight="1" x14ac:dyDescent="0.2">
      <c r="A30" s="5" t="str">
        <f>HYPERLINK("#'4.6.1.7-8 Leaching and runoff'!A1", "4.6.1.7-8 Manure Leaching and runoff")</f>
        <v>4.6.1.7-8 Manure Leaching and runoff</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51" cm="1">
        <f t="array" ref="J30">Scope3_Equations.VEERG_15_1_1_1__1_EmissionsFromPurchasedLivestock(G30,H30,I30)</f>
        <v>0</v>
      </c>
      <c r="K30" s="15"/>
      <c r="L30" s="74"/>
      <c r="M30" s="251" cm="1">
        <f t="array" ref="M30">Scope3_Equations.VEERG_15_1_1_1__1_EmissionsFromPurchasedLivestock(G30,K30,IF(L30, L30, I30))</f>
        <v>0</v>
      </c>
      <c r="N30" s="33"/>
      <c r="O30" s="13"/>
      <c r="P30" s="33"/>
    </row>
    <row r="31" spans="1:16" ht="20.100000000000001" customHeight="1" x14ac:dyDescent="0.2">
      <c r="A31" s="5" t="str">
        <f>HYPERLINK("#'4.6.1.9 Manure applied to soils'!A1", "4.6.1.9 Manure applied to soils")</f>
        <v>4.6.1.9 Manure applied to soils</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51" cm="1">
        <f t="array" ref="J31">Scope3_Equations.VEERG_15_1_1_1__1_EmissionsFromPurchasedLivestock(G31,H31,I31)</f>
        <v>0</v>
      </c>
      <c r="K31" s="15"/>
      <c r="L31" s="74"/>
      <c r="M31" s="251" cm="1">
        <f t="array" ref="M31">Scope3_Equations.VEERG_15_1_1_1__1_EmissionsFromPurchasedLivestock(G31,K31,IF(L31, L31, I31))</f>
        <v>0</v>
      </c>
      <c r="N31" s="33"/>
      <c r="O31" s="13"/>
      <c r="P31" s="33"/>
    </row>
    <row r="32" spans="1:16" ht="20.100000000000001" customHeight="1" x14ac:dyDescent="0.2">
      <c r="A32" s="5" t="str">
        <f>HYPERLINK("#'4.6.1.10-11 Soil direct N2O'!A1", "4.6.1.10-11 Soil direct N2O")</f>
        <v>4.6.1.10-11 Soil direct N2O</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51" cm="1">
        <f t="array" ref="J32">Scope3_Equations.VEERG_15_1_1_1__1_EmissionsFromPurchasedLivestock(G32,H32,I32)</f>
        <v>0</v>
      </c>
      <c r="K32" s="15"/>
      <c r="L32" s="74"/>
      <c r="M32" s="251" cm="1">
        <f t="array" ref="M32">Scope3_Equations.VEERG_15_1_1_1__1_EmissionsFromPurchasedLivestock(G32,K32,IF(L32, L32, I32))</f>
        <v>0</v>
      </c>
      <c r="N32" s="33"/>
      <c r="O32" s="13"/>
      <c r="P32" s="33"/>
    </row>
    <row r="33" spans="1:13" ht="20.100000000000001" customHeight="1" x14ac:dyDescent="0.2">
      <c r="A33" s="5" t="str">
        <f>HYPERLINK("#'4.6.1.12-13 Soil atmos dep'!A1", "4.6.1.12-13 Soil atmos dep")</f>
        <v>4.6.1.12-13 Soil atmos dep</v>
      </c>
    </row>
    <row r="34" spans="1:13" ht="20.100000000000001" customHeight="1" x14ac:dyDescent="0.2">
      <c r="A34" s="5" t="str">
        <f>HYPERLINK("#'4.6.1.14-15 Soil leach runoff'!A1", "4.6.1.14-15 Soil leach runoff")</f>
        <v>4.6.1.14-15 Soil leach runoff</v>
      </c>
      <c r="D34" s="88" t="s">
        <v>1051</v>
      </c>
      <c r="E34" s="83">
        <f>SUM(J23:J32)</f>
        <v>0</v>
      </c>
      <c r="F34" s="89" t="str">
        <f>$E$11</f>
        <v>t CO2e</v>
      </c>
    </row>
    <row r="35" spans="1:13" ht="20.100000000000001" customHeight="1" x14ac:dyDescent="0.2">
      <c r="A35" s="5" t="str">
        <f>HYPERLINK("#'8.1.1.1-2 Transport fuel'!A1", "8.1.1.1-2 Transport fuel")</f>
        <v>8.1.1.1-2 Transport fuel</v>
      </c>
      <c r="D35" s="88" t="s">
        <v>1052</v>
      </c>
      <c r="E35" s="83">
        <f>SUM(M23:M32)</f>
        <v>0</v>
      </c>
      <c r="F35" s="89" t="str">
        <f>$E$11</f>
        <v>t CO2e</v>
      </c>
    </row>
    <row r="36" spans="1:13" ht="20.100000000000001" customHeight="1" x14ac:dyDescent="0.2">
      <c r="A36" s="5" t="str">
        <f>HYPERLINK("#'8.2.1.1-2 Stationary fuel'!A1", "8.2.1.1-2 Stationary fuel")</f>
        <v>8.2.1.1-2 Stationary fuel</v>
      </c>
    </row>
    <row r="37" spans="1:13" ht="20.100000000000001" customHeight="1" x14ac:dyDescent="0.2">
      <c r="A37" s="5" t="str">
        <f>HYPERLINK("#'10.1.1-2 Solid waste treatment'!A1", "10.1.1.1-2 Solid waste")</f>
        <v>10.1.1.1-2 Solid waste</v>
      </c>
    </row>
    <row r="38" spans="1:13" ht="20.100000000000001" customHeight="1" x14ac:dyDescent="0.2">
      <c r="A38" s="5" t="str">
        <f>HYPERLINK("#'14.1.1-2 Purchased electricity'!A1", "14.1.1-2 Purchased electricity")</f>
        <v>14.1.1-2 Purchased electricity</v>
      </c>
      <c r="D38" s="244" t="s">
        <v>1053</v>
      </c>
    </row>
    <row r="39" spans="1:13" ht="20.100000000000001" customHeight="1" x14ac:dyDescent="0.2">
      <c r="A39" s="117" t="str">
        <f>HYPERLINK("#'15 Scope 3'!A1", "15 Scope 3")</f>
        <v>15 Scope 3</v>
      </c>
      <c r="D39" s="113" t="s">
        <v>1054</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HYPERLINK("#'Calcs - Manure sent off-site'!A1", "Calcs - Manure sent off-site")</f>
        <v>Calcs - Manure sent off-site</v>
      </c>
    </row>
    <row r="41" spans="1:13" ht="20.100000000000001" customHeight="1" x14ac:dyDescent="0.2">
      <c r="A41" s="5" t="str">
        <f>HYPERLINK("#'5.1.1.1-2 Inorganic fert N2O'!A1", "5.1.1.1-2 Inorganic fert N2O")</f>
        <v>5.1.1.1-2 Inorganic fert N2O</v>
      </c>
      <c r="D41" s="78" t="s">
        <v>1035</v>
      </c>
      <c r="E41" s="250" t="s">
        <v>1038</v>
      </c>
      <c r="F41" s="250" t="s">
        <v>1039</v>
      </c>
      <c r="G41" s="120" t="s">
        <v>1041</v>
      </c>
      <c r="H41" s="250" t="s">
        <v>1042</v>
      </c>
      <c r="I41" s="78" t="s">
        <v>1043</v>
      </c>
      <c r="J41" s="120" t="s">
        <v>1044</v>
      </c>
      <c r="K41" s="78" t="s">
        <v>1045</v>
      </c>
      <c r="L41" s="78" t="s">
        <v>1046</v>
      </c>
      <c r="M41" s="78" t="s">
        <v>1047</v>
      </c>
    </row>
    <row r="42" spans="1:13" ht="20.100000000000001" customHeight="1" x14ac:dyDescent="0.2">
      <c r="A42" s="5" t="str">
        <f>HYPERLINK("#'5.1.1.3-4 Inorganic fert CO2'!A1", "5.1.1.3-4 Inorganic fert CO2")</f>
        <v>5.1.1.3-4 Inorganic fert CO2</v>
      </c>
      <c r="D42" s="15"/>
      <c r="E42" s="15"/>
      <c r="F42" s="15"/>
      <c r="G42" s="251" cm="1">
        <f t="array" ref="G42">Scope3_Equations.VEERG_15_1_1_1__1_EmissionsFromPurchasedLivestock(E42,F42,$E$39)</f>
        <v>0</v>
      </c>
      <c r="H42" s="15"/>
      <c r="I42" s="74">
        <v>4</v>
      </c>
      <c r="J42" s="251" cm="1">
        <f t="array" ref="J42">Scope3_Equations.VEERG_15_1_1_1__1_EmissionsFromPurchasedLivestock(E42,H42,IF(I42,I42,$E$39))</f>
        <v>0</v>
      </c>
      <c r="K42" s="33" t="s">
        <v>1048</v>
      </c>
      <c r="L42" s="13" t="s">
        <v>1049</v>
      </c>
      <c r="M42" t="s">
        <v>1050</v>
      </c>
    </row>
    <row r="43" spans="1:13" ht="20.100000000000001" customHeight="1" x14ac:dyDescent="0.2">
      <c r="A43" s="5" t="str">
        <f>HYPERLINK("#'5.2.1.1-2 Organic Fert N2O'!A1", "5.2.1.1-2 Organic Fert N2O")</f>
        <v>5.2.1.1-2 Organic Fert N2O</v>
      </c>
      <c r="D43" s="15"/>
      <c r="E43" s="15"/>
      <c r="F43" s="15"/>
      <c r="G43" s="251" cm="1">
        <f t="array" ref="G43">Scope3_Equations.VEERG_15_1_1_1__1_EmissionsFromPurchasedLivestock(E43,F43,$E$39)</f>
        <v>0</v>
      </c>
      <c r="H43" s="15"/>
      <c r="I43" s="74"/>
      <c r="J43" s="251" cm="1">
        <f t="array" ref="J43">Scope3_Equations.VEERG_15_1_1_1__1_EmissionsFromPurchasedLivestock(E43,H43,IF(I43,I43,$E$39))</f>
        <v>0</v>
      </c>
      <c r="K43" s="33"/>
      <c r="L43" s="13"/>
      <c r="M43" s="33"/>
    </row>
    <row r="44" spans="1:13" ht="20.100000000000001" customHeight="1" x14ac:dyDescent="0.2">
      <c r="A44" s="5" t="str">
        <f>HYPERLINK("#'5.3.1.1-2 Lime CO2'!A1", "5.3.1.1-2 Lime CO2")</f>
        <v>5.3.1.1-2 Lime CO2</v>
      </c>
      <c r="D44" s="15"/>
      <c r="E44" s="15"/>
      <c r="F44" s="15"/>
      <c r="G44" s="251" cm="1">
        <f t="array" ref="G44">Scope3_Equations.VEERG_15_1_1_1__1_EmissionsFromPurchasedLivestock(E44,F44,$E$39)</f>
        <v>0</v>
      </c>
      <c r="H44" s="15"/>
      <c r="I44" s="74"/>
      <c r="J44" s="251" cm="1">
        <f t="array" ref="J44">Scope3_Equations.VEERG_15_1_1_1__1_EmissionsFromPurchasedLivestock(E44,H44,IF(I44,I44,$E$39))</f>
        <v>0</v>
      </c>
      <c r="K44" s="33"/>
      <c r="L44" s="13"/>
      <c r="M44" s="33"/>
    </row>
    <row r="45" spans="1:13" ht="20.100000000000001" customHeight="1" x14ac:dyDescent="0.2">
      <c r="A45" s="5" t="str">
        <f>HYPERLINK("#'5.4.1.1-4 Atmos deposition'!A1", "5.4.1.1-4 Atmos deposition")</f>
        <v>5.4.1.1-4 Atmos deposition</v>
      </c>
      <c r="D45" s="15"/>
      <c r="E45" s="15"/>
      <c r="F45" s="15"/>
      <c r="G45" s="251" cm="1">
        <f t="array" ref="G45">Scope3_Equations.VEERG_15_1_1_1__1_EmissionsFromPurchasedLivestock(E45,F45,$E$39)</f>
        <v>0</v>
      </c>
      <c r="H45" s="15"/>
      <c r="I45" s="74"/>
      <c r="J45" s="251" cm="1">
        <f t="array" ref="J45">Scope3_Equations.VEERG_15_1_1_1__1_EmissionsFromPurchasedLivestock(E45,H45,IF(I45,I45,$E$39))</f>
        <v>0</v>
      </c>
      <c r="K45" s="33"/>
      <c r="L45" s="13"/>
      <c r="M45" s="33"/>
    </row>
    <row r="46" spans="1:13" ht="20.100000000000001" customHeight="1" x14ac:dyDescent="0.2">
      <c r="A46" s="5" t="str">
        <f>HYPERLINK("#'5.5.1.1-2 Leaching and runoff'!A1", "5.5.1.1-2 Leaching and runoff")</f>
        <v>5.5.1.1-2 Leaching and runoff</v>
      </c>
      <c r="D46" s="15"/>
      <c r="E46" s="15"/>
      <c r="F46" s="15"/>
      <c r="G46" s="251" cm="1">
        <f t="array" ref="G46">Scope3_Equations.VEERG_15_1_1_1__1_EmissionsFromPurchasedLivestock(E46,F46,$E$39)</f>
        <v>0</v>
      </c>
      <c r="H46" s="15"/>
      <c r="I46" s="74"/>
      <c r="J46" s="251" cm="1">
        <f t="array" ref="J46">Scope3_Equations.VEERG_15_1_1_1__1_EmissionsFromPurchasedLivestock(E46,H46,IF(I46,I46,$E$39))</f>
        <v>0</v>
      </c>
      <c r="K46" s="33"/>
      <c r="L46" s="13"/>
      <c r="M46" s="33"/>
    </row>
    <row r="47" spans="1:13" ht="20.100000000000001" customHeight="1" x14ac:dyDescent="0.2">
      <c r="D47" s="15"/>
      <c r="E47" s="15"/>
      <c r="F47" s="15"/>
      <c r="G47" s="251" cm="1">
        <f t="array" ref="G47">Scope3_Equations.VEERG_15_1_1_1__1_EmissionsFromPurchasedLivestock(E47,F47,$E$39)</f>
        <v>0</v>
      </c>
      <c r="H47" s="15"/>
      <c r="I47" s="74"/>
      <c r="J47" s="251" cm="1">
        <f t="array" ref="J47">Scope3_Equations.VEERG_15_1_1_1__1_EmissionsFromPurchasedLivestock(E47,H47,IF(I47,I47,$E$39))</f>
        <v>0</v>
      </c>
      <c r="K47" s="33"/>
      <c r="L47" s="13"/>
      <c r="M47" s="33"/>
    </row>
    <row r="48" spans="1:13" ht="20.100000000000001" customHeight="1" x14ac:dyDescent="0.2">
      <c r="D48" s="15"/>
      <c r="E48" s="15"/>
      <c r="F48" s="15"/>
      <c r="G48" s="251" cm="1">
        <f t="array" ref="G48">Scope3_Equations.VEERG_15_1_1_1__1_EmissionsFromPurchasedLivestock(E48,F48,$E$39)</f>
        <v>0</v>
      </c>
      <c r="H48" s="15"/>
      <c r="I48" s="74"/>
      <c r="J48" s="251" cm="1">
        <f t="array" ref="J48">Scope3_Equations.VEERG_15_1_1_1__1_EmissionsFromPurchasedLivestock(E48,H48,IF(I48,I48,$E$39))</f>
        <v>0</v>
      </c>
      <c r="K48" s="33"/>
      <c r="L48" s="13"/>
      <c r="M48" s="33"/>
    </row>
    <row r="49" spans="1:13" ht="20.100000000000001" customHeight="1" x14ac:dyDescent="0.2">
      <c r="A49" s="80" t="s">
        <v>1</v>
      </c>
      <c r="D49" s="15"/>
      <c r="E49" s="15"/>
      <c r="F49" s="15"/>
      <c r="G49" s="251" cm="1">
        <f t="array" ref="G49">Scope3_Equations.VEERG_15_1_1_1__1_EmissionsFromPurchasedLivestock(E49,F49,$E$39)</f>
        <v>0</v>
      </c>
      <c r="H49" s="15"/>
      <c r="I49" s="74"/>
      <c r="J49" s="251" cm="1">
        <f t="array" ref="J49">Scope3_Equations.VEERG_15_1_1_1__1_EmissionsFromPurchasedLivestock(E49,H49,IF(I49,I49,$E$39))</f>
        <v>0</v>
      </c>
      <c r="K49" s="33"/>
      <c r="L49" s="13"/>
      <c r="M49" s="33"/>
    </row>
    <row r="50" spans="1:13" ht="20.100000000000001" customHeight="1" x14ac:dyDescent="0.2">
      <c r="A50" s="5" t="str">
        <f>HYPERLINK("#'Constants - Poultry'!A1", "Constants - Poultry")</f>
        <v>Constants - Poultry</v>
      </c>
      <c r="D50" s="15"/>
      <c r="E50" s="15"/>
      <c r="F50" s="15"/>
      <c r="G50" s="251" cm="1">
        <f t="array" ref="G50">Scope3_Equations.VEERG_15_1_1_1__1_EmissionsFromPurchasedLivestock(E50,F50,$E$39)</f>
        <v>0</v>
      </c>
      <c r="H50" s="15"/>
      <c r="I50" s="74"/>
      <c r="J50" s="251" cm="1">
        <f t="array" ref="J50">Scope3_Equations.VEERG_15_1_1_1__1_EmissionsFromPurchasedLivestock(E50,H50,IF(I50,I50,$E$39))</f>
        <v>0</v>
      </c>
      <c r="K50" s="33"/>
      <c r="L50" s="13"/>
      <c r="M50" s="33"/>
    </row>
    <row r="51" spans="1:13" ht="20.100000000000001" customHeight="1" x14ac:dyDescent="0.2">
      <c r="A51" s="5" t="str">
        <f>HYPERLINK("#'Constants - Common livestock'!A1", "Constants - Common Livestock")</f>
        <v>Constants - Common Livestock</v>
      </c>
      <c r="D51" s="15"/>
      <c r="E51" s="15"/>
      <c r="F51" s="15"/>
      <c r="G51" s="251" cm="1">
        <f t="array" ref="G51">Scope3_Equations.VEERG_15_1_1_1__1_EmissionsFromPurchasedLivestock(E51,F51,$E$39)</f>
        <v>0</v>
      </c>
      <c r="H51" s="15"/>
      <c r="I51" s="74"/>
      <c r="J51" s="251" cm="1">
        <f t="array" ref="J51">Scope3_Equations.VEERG_15_1_1_1__1_EmissionsFromPurchasedLivestock(E51,H51,IF(I51,I51,$E$39))</f>
        <v>0</v>
      </c>
      <c r="K51" s="33"/>
      <c r="L51" s="13"/>
      <c r="M51" s="33"/>
    </row>
    <row r="52" spans="1:13" ht="20.100000000000001" customHeight="1" x14ac:dyDescent="0.2">
      <c r="A52" s="5" t="str">
        <f>HYPERLINK("#'Constants - Electricity'!A1", "Constants - Electricity")</f>
        <v>Constants - Electricity</v>
      </c>
    </row>
    <row r="53" spans="1:13" ht="20.100000000000001" customHeight="1" x14ac:dyDescent="0.2">
      <c r="A53" s="5" t="str">
        <f>HYPERLINK("#'Constants - Fertiliser'!A1", "Constants - Fertiliser")</f>
        <v>Constants - Fertiliser</v>
      </c>
      <c r="D53" s="88" t="s">
        <v>1055</v>
      </c>
      <c r="E53" s="83">
        <f>SUM(G42:G51)</f>
        <v>0</v>
      </c>
      <c r="F53" s="89" t="str">
        <f>$E$11</f>
        <v>t CO2e</v>
      </c>
    </row>
    <row r="54" spans="1:13" ht="20.100000000000001" customHeight="1" x14ac:dyDescent="0.2">
      <c r="A54" s="5" t="str">
        <f>HYPERLINK("#'Constants - Fuel'!A1", "Constants - Fuel")</f>
        <v>Constants - Fuel</v>
      </c>
      <c r="D54" s="88" t="s">
        <v>1056</v>
      </c>
      <c r="E54" s="83">
        <f>SUM(J42:J51)</f>
        <v>0</v>
      </c>
      <c r="F54" s="89" t="str">
        <f>$E$11</f>
        <v>t CO2e</v>
      </c>
    </row>
    <row r="55" spans="1:13" ht="20.100000000000001" customHeight="1" x14ac:dyDescent="0.2">
      <c r="A55" s="5" t="str">
        <f>HYPERLINK("#'Constants - Scope 3'!A1", "Constants - Scope 3")</f>
        <v>Constants - Scope 3</v>
      </c>
    </row>
    <row r="56" spans="1:13" ht="20.100000000000001" customHeight="1" x14ac:dyDescent="0.2">
      <c r="A56" s="5" t="str">
        <f>HYPERLINK("#'Constants - Solid Waste'!A1", "Constants - Solid Waste")</f>
        <v>Constants - Solid Waste</v>
      </c>
    </row>
    <row r="57" spans="1:13" ht="20.100000000000001" customHeight="1" x14ac:dyDescent="0.2">
      <c r="A57" s="5" t="str">
        <f>HYPERLINK("#'Constants - Common'!A1", "Constants - Common")</f>
        <v>Constants - Common</v>
      </c>
      <c r="D57" s="244" t="s">
        <v>1057</v>
      </c>
    </row>
    <row r="58" spans="1:13" ht="20.100000000000001" customHeight="1" x14ac:dyDescent="0.2">
      <c r="D58" s="113" t="s">
        <v>1054</v>
      </c>
      <c r="E58" s="15" cm="1">
        <f t="array" ref="E58">Common_InputFunctions.Utility_LookupValueInTableNumber("Pigs", Table_SourceData_Scope3_Animals[Product],Table_SourceData_Scope3_Animals[Emissions intensity])</f>
        <v>3.38</v>
      </c>
    </row>
    <row r="60" spans="1:13" ht="20.100000000000001" customHeight="1" x14ac:dyDescent="0.2">
      <c r="D60" s="78" t="s">
        <v>1035</v>
      </c>
      <c r="E60" s="250" t="s">
        <v>1038</v>
      </c>
      <c r="F60" s="250" t="s">
        <v>1039</v>
      </c>
      <c r="G60" s="120" t="s">
        <v>1041</v>
      </c>
      <c r="H60" s="250" t="s">
        <v>1042</v>
      </c>
      <c r="I60" s="78" t="s">
        <v>1043</v>
      </c>
      <c r="J60" s="120" t="s">
        <v>1044</v>
      </c>
      <c r="K60" s="78" t="s">
        <v>1045</v>
      </c>
      <c r="L60" s="78" t="s">
        <v>1046</v>
      </c>
      <c r="M60" s="78" t="s">
        <v>1047</v>
      </c>
    </row>
    <row r="61" spans="1:13" ht="20.100000000000001" customHeight="1" x14ac:dyDescent="0.2">
      <c r="D61" s="15"/>
      <c r="E61" s="15"/>
      <c r="F61" s="15"/>
      <c r="G61" s="251" cm="1">
        <f t="array" ref="G61">Scope3_Equations.VEERG_15_1_1_1__1_EmissionsFromPurchasedLivestock(E61,F61,$E$58)</f>
        <v>0</v>
      </c>
      <c r="H61" s="15"/>
      <c r="I61" s="74">
        <v>3.38</v>
      </c>
      <c r="J61" s="251" cm="1">
        <f t="array" ref="J61">Scope3_Equations.VEERG_15_1_1_1__1_EmissionsFromPurchasedLivestock(E61,H61,IF(I61, I61,$E$58))</f>
        <v>0</v>
      </c>
      <c r="K61" s="33"/>
      <c r="L61" s="13"/>
      <c r="M61"/>
    </row>
    <row r="62" spans="1:13" ht="20.100000000000001" customHeight="1" x14ac:dyDescent="0.2">
      <c r="D62" s="15"/>
      <c r="E62" s="15"/>
      <c r="F62" s="15"/>
      <c r="G62" s="251" cm="1">
        <f t="array" ref="G62">Scope3_Equations.VEERG_15_1_1_1__1_EmissionsFromPurchasedLivestock(E62,F62,$E$58)</f>
        <v>0</v>
      </c>
      <c r="H62" s="15"/>
      <c r="I62" s="74">
        <v>3.3</v>
      </c>
      <c r="J62" s="251" cm="1">
        <f t="array" ref="J62">Scope3_Equations.VEERG_15_1_1_1__1_EmissionsFromPurchasedLivestock(E62,H62,IF(I62, I62,$E$58))</f>
        <v>0</v>
      </c>
      <c r="K62" s="33"/>
      <c r="L62" s="13"/>
      <c r="M62" s="33"/>
    </row>
    <row r="63" spans="1:13" ht="20.100000000000001" customHeight="1" x14ac:dyDescent="0.2">
      <c r="D63" s="15"/>
      <c r="E63" s="15"/>
      <c r="F63" s="15"/>
      <c r="G63" s="251" cm="1">
        <f t="array" ref="G63">Scope3_Equations.VEERG_15_1_1_1__1_EmissionsFromPurchasedLivestock(E63,F63,$E$58)</f>
        <v>0</v>
      </c>
      <c r="H63" s="15"/>
      <c r="I63" s="74"/>
      <c r="J63" s="251" cm="1">
        <f t="array" ref="J63">Scope3_Equations.VEERG_15_1_1_1__1_EmissionsFromPurchasedLivestock(E63,H63,IF(I63, I63,$E$58))</f>
        <v>0</v>
      </c>
      <c r="K63" s="33"/>
      <c r="L63" s="13"/>
      <c r="M63" s="33"/>
    </row>
    <row r="64" spans="1:13" ht="20.100000000000001" customHeight="1" x14ac:dyDescent="0.2">
      <c r="D64" s="15"/>
      <c r="E64" s="15"/>
      <c r="F64" s="15"/>
      <c r="G64" s="251" cm="1">
        <f t="array" ref="G64">Scope3_Equations.VEERG_15_1_1_1__1_EmissionsFromPurchasedLivestock(E64,F64,$E$58)</f>
        <v>0</v>
      </c>
      <c r="H64" s="15"/>
      <c r="I64" s="74"/>
      <c r="J64" s="251" cm="1">
        <f t="array" ref="J64">Scope3_Equations.VEERG_15_1_1_1__1_EmissionsFromPurchasedLivestock(E64,H64,IF(I64, I64,$E$58))</f>
        <v>0</v>
      </c>
      <c r="K64" s="33"/>
      <c r="L64" s="13"/>
      <c r="M64" s="33"/>
    </row>
    <row r="65" spans="1:13" ht="20.100000000000001" customHeight="1" x14ac:dyDescent="0.2">
      <c r="D65" s="15"/>
      <c r="E65" s="15"/>
      <c r="F65" s="15"/>
      <c r="G65" s="251" cm="1">
        <f t="array" ref="G65">Scope3_Equations.VEERG_15_1_1_1__1_EmissionsFromPurchasedLivestock(E65,F65,$E$58)</f>
        <v>0</v>
      </c>
      <c r="H65" s="15"/>
      <c r="I65" s="74"/>
      <c r="J65" s="251" cm="1">
        <f t="array" ref="J65">Scope3_Equations.VEERG_15_1_1_1__1_EmissionsFromPurchasedLivestock(E65,H65,IF(I65, I65,$E$58))</f>
        <v>0</v>
      </c>
      <c r="K65" s="33"/>
      <c r="L65" s="13"/>
      <c r="M65" s="33"/>
    </row>
    <row r="66" spans="1:13" ht="20.100000000000001" customHeight="1" x14ac:dyDescent="0.2">
      <c r="D66" s="15"/>
      <c r="E66" s="15"/>
      <c r="F66" s="15"/>
      <c r="G66" s="251" cm="1">
        <f t="array" ref="G66">Scope3_Equations.VEERG_15_1_1_1__1_EmissionsFromPurchasedLivestock(E66,F66,$E$58)</f>
        <v>0</v>
      </c>
      <c r="H66" s="15"/>
      <c r="I66" s="74"/>
      <c r="J66" s="251" cm="1">
        <f t="array" ref="J66">Scope3_Equations.VEERG_15_1_1_1__1_EmissionsFromPurchasedLivestock(E66,H66,IF(I66, I66,$E$58))</f>
        <v>0</v>
      </c>
      <c r="K66" s="33"/>
      <c r="L66" s="13"/>
      <c r="M66" s="33"/>
    </row>
    <row r="67" spans="1:13" ht="20.100000000000001" customHeight="1" x14ac:dyDescent="0.2">
      <c r="D67" s="15"/>
      <c r="E67" s="15"/>
      <c r="F67" s="15"/>
      <c r="G67" s="251" cm="1">
        <f t="array" ref="G67">Scope3_Equations.VEERG_15_1_1_1__1_EmissionsFromPurchasedLivestock(E67,F67,$E$58)</f>
        <v>0</v>
      </c>
      <c r="H67" s="15"/>
      <c r="I67" s="74"/>
      <c r="J67" s="251" cm="1">
        <f t="array" ref="J67">Scope3_Equations.VEERG_15_1_1_1__1_EmissionsFromPurchasedLivestock(E67,H67,IF(I67, I67,$E$58))</f>
        <v>0</v>
      </c>
      <c r="K67" s="33"/>
      <c r="L67" s="13"/>
      <c r="M67" s="33"/>
    </row>
    <row r="68" spans="1:13" ht="20.100000000000001" customHeight="1" x14ac:dyDescent="0.2">
      <c r="A68" s="79" t="str">
        <f>HYPERLINK("#A1", "▲ Back to top")</f>
        <v>▲ Back to top</v>
      </c>
      <c r="D68" s="15"/>
      <c r="E68" s="15"/>
      <c r="F68" s="15"/>
      <c r="G68" s="251" cm="1">
        <f t="array" ref="G68">Scope3_Equations.VEERG_15_1_1_1__1_EmissionsFromPurchasedLivestock(E68,F68,$E$58)</f>
        <v>0</v>
      </c>
      <c r="H68" s="15"/>
      <c r="I68" s="74"/>
      <c r="J68" s="251" cm="1">
        <f t="array" ref="J68">Scope3_Equations.VEERG_15_1_1_1__1_EmissionsFromPurchasedLivestock(E68,H68,IF(I68, I68,$E$58))</f>
        <v>0</v>
      </c>
      <c r="K68" s="33"/>
      <c r="L68" s="13"/>
      <c r="M68" s="33"/>
    </row>
    <row r="69" spans="1:13" ht="20.100000000000001" customHeight="1" x14ac:dyDescent="0.2">
      <c r="D69" s="15"/>
      <c r="E69" s="15"/>
      <c r="F69" s="15"/>
      <c r="G69" s="251" cm="1">
        <f t="array" ref="G69">Scope3_Equations.VEERG_15_1_1_1__1_EmissionsFromPurchasedLivestock(E69,F69,$E$58)</f>
        <v>0</v>
      </c>
      <c r="H69" s="15"/>
      <c r="I69" s="74"/>
      <c r="J69" s="251" cm="1">
        <f t="array" ref="J69">Scope3_Equations.VEERG_15_1_1_1__1_EmissionsFromPurchasedLivestock(E69,H69,IF(I69, I69,$E$58))</f>
        <v>0</v>
      </c>
      <c r="K69" s="33"/>
      <c r="L69" s="13"/>
      <c r="M69" s="33"/>
    </row>
    <row r="70" spans="1:13" ht="20.100000000000001" customHeight="1" x14ac:dyDescent="0.2">
      <c r="D70" s="15"/>
      <c r="E70" s="15"/>
      <c r="F70" s="15"/>
      <c r="G70" s="251" cm="1">
        <f t="array" ref="G70">Scope3_Equations.VEERG_15_1_1_1__1_EmissionsFromPurchasedLivestock(E70,F70,$E$58)</f>
        <v>0</v>
      </c>
      <c r="H70" s="15"/>
      <c r="I70" s="74"/>
      <c r="J70" s="251" cm="1">
        <f t="array" ref="J70">Scope3_Equations.VEERG_15_1_1_1__1_EmissionsFromPurchasedLivestock(E70,H70,IF(I70, I70,$E$58))</f>
        <v>0</v>
      </c>
      <c r="K70" s="33"/>
      <c r="L70" s="13"/>
      <c r="M70" s="33"/>
    </row>
    <row r="72" spans="1:13" ht="20.100000000000001" customHeight="1" x14ac:dyDescent="0.2">
      <c r="D72" s="88" t="s">
        <v>1058</v>
      </c>
      <c r="E72" s="83">
        <f>SUM(G61:G70)</f>
        <v>0</v>
      </c>
      <c r="F72" s="89" t="str">
        <f>$E$11</f>
        <v>t CO2e</v>
      </c>
    </row>
    <row r="73" spans="1:13" ht="20.100000000000001" customHeight="1" x14ac:dyDescent="0.2">
      <c r="D73" s="88" t="s">
        <v>1059</v>
      </c>
      <c r="E73" s="83">
        <f>SUM(J61:J70)</f>
        <v>0</v>
      </c>
      <c r="F73" s="89" t="str">
        <f>$E$11</f>
        <v>t CO2e</v>
      </c>
    </row>
    <row r="75" spans="1:13" ht="20.100000000000001" customHeight="1" x14ac:dyDescent="0.2">
      <c r="D75" s="244" t="s">
        <v>1060</v>
      </c>
    </row>
    <row r="76" spans="1:13" ht="20.100000000000001" customHeight="1" x14ac:dyDescent="0.2">
      <c r="D76" s="113" t="s">
        <v>1054</v>
      </c>
      <c r="E76" s="15" cm="1">
        <f t="array" ref="E76">Common_InputFunctions.Utility_LookupValueInTableNumber("Chickens", Table_SourceData_Scope3_Animals[Product],Table_SourceData_Scope3_Animals[Emissions intensity])</f>
        <v>1.36</v>
      </c>
    </row>
    <row r="78" spans="1:13" ht="20.100000000000001" customHeight="1" x14ac:dyDescent="0.2">
      <c r="D78" s="78" t="s">
        <v>1035</v>
      </c>
      <c r="E78" s="250" t="s">
        <v>1038</v>
      </c>
      <c r="F78" s="250" t="s">
        <v>1039</v>
      </c>
      <c r="G78" s="120" t="s">
        <v>1041</v>
      </c>
      <c r="H78" s="250" t="s">
        <v>1042</v>
      </c>
      <c r="I78" s="78" t="s">
        <v>1043</v>
      </c>
      <c r="J78" s="120" t="s">
        <v>1044</v>
      </c>
      <c r="K78" s="78" t="s">
        <v>1045</v>
      </c>
      <c r="L78" s="78" t="s">
        <v>1046</v>
      </c>
      <c r="M78" s="78" t="s">
        <v>1047</v>
      </c>
    </row>
    <row r="79" spans="1:13" ht="20.100000000000001" customHeight="1" x14ac:dyDescent="0.2">
      <c r="D79" s="15" t="str" cm="1">
        <f t="array" ref="D79:D88">IFERROR(INDEX(Table_Input_LivestockPurchases_Poultry[Transaction name], _xlfn.SEQUENCE(10)), "")</f>
        <v>Chooks from Carolyn</v>
      </c>
      <c r="E79" s="15" cm="1">
        <f t="array" ref="E79:E88">IFERROR(INDEX(Table_Input_LivestockPurchases_Poultry[Quantity (head)], _xlfn.SEQUENCE(10)), "")</f>
        <v>100</v>
      </c>
      <c r="F79" s="15" cm="1">
        <f t="array" ref="F79:F88">IFERROR(INDEX(Table_Input_LivestockPurchases_Poultry[Liveweight (kg/head) Method 1], _xlfn.SEQUENCE(10)), "")</f>
        <v>1.3</v>
      </c>
      <c r="G79" s="251" cm="1">
        <f t="array" ref="G79">Scope3_Equations.VEERG_15_1_1_1__1_EmissionsFromPurchasedLivestock(E79,F79,$E$76)</f>
        <v>0.17680000000000001</v>
      </c>
      <c r="H79" s="15" cm="1">
        <f t="array" ref="H79:H88">IFERROR(INDEX(Table_Input_LivestockPurchases_Poultry[Liveweight (kg/head) Method 2], _xlfn.SEQUENCE(10)), "")</f>
        <v>1.3</v>
      </c>
      <c r="I79" s="74">
        <v>1.3</v>
      </c>
      <c r="J79" s="251" cm="1">
        <f t="array" ref="J79">Scope3_Equations.VEERG_15_1_1_1__1_EmissionsFromPurchasedLivestock(E79,H79,IF(I79, I79,$E$76))</f>
        <v>0.16900000000000001</v>
      </c>
      <c r="K79" s="33"/>
      <c r="L79" s="13"/>
      <c r="M79"/>
    </row>
    <row r="80" spans="1:13" ht="20.100000000000001" customHeight="1" x14ac:dyDescent="0.2">
      <c r="D80" s="15" t="str">
        <v>Roosters from Raj</v>
      </c>
      <c r="E80" s="15">
        <v>100</v>
      </c>
      <c r="F80" s="15">
        <v>1.4</v>
      </c>
      <c r="G80" s="251" cm="1">
        <f t="array" ref="G80">Scope3_Equations.VEERG_15_1_1_1__1_EmissionsFromPurchasedLivestock(E80,F80,$E$76)</f>
        <v>0.19040000000000001</v>
      </c>
      <c r="H80" s="15">
        <v>1.4</v>
      </c>
      <c r="I80" s="74"/>
      <c r="J80" s="251" cm="1">
        <f t="array" ref="J80">Scope3_Equations.VEERG_15_1_1_1__1_EmissionsFromPurchasedLivestock(E80,H80,IF(I80, I80,$E$76))</f>
        <v>0.19040000000000001</v>
      </c>
      <c r="K80" s="33"/>
      <c r="L80" s="13"/>
      <c r="M80" s="33"/>
    </row>
    <row r="81" spans="4:13" ht="20.100000000000001" customHeight="1" x14ac:dyDescent="0.2">
      <c r="D81" s="15">
        <v>0</v>
      </c>
      <c r="E81" s="15">
        <v>0</v>
      </c>
      <c r="F81" s="15">
        <v>0</v>
      </c>
      <c r="G81" s="251" cm="1">
        <f t="array" ref="G81">Scope3_Equations.VEERG_15_1_1_1__1_EmissionsFromPurchasedLivestock(E81,F81,$E$76)</f>
        <v>0</v>
      </c>
      <c r="H81" s="15">
        <v>0</v>
      </c>
      <c r="I81" s="74"/>
      <c r="J81" s="251" cm="1">
        <f t="array" ref="J81">Scope3_Equations.VEERG_15_1_1_1__1_EmissionsFromPurchasedLivestock(E81,H81,IF(I81, I81,$E$76))</f>
        <v>0</v>
      </c>
      <c r="K81" s="33"/>
      <c r="L81" s="13"/>
      <c r="M81" s="33"/>
    </row>
    <row r="82" spans="4:13" ht="20.100000000000001" customHeight="1" x14ac:dyDescent="0.2">
      <c r="D82" s="15">
        <v>0</v>
      </c>
      <c r="E82" s="15">
        <v>0</v>
      </c>
      <c r="F82" s="15">
        <v>0</v>
      </c>
      <c r="G82" s="251" cm="1">
        <f t="array" ref="G82">Scope3_Equations.VEERG_15_1_1_1__1_EmissionsFromPurchasedLivestock(E82,F82,$E$76)</f>
        <v>0</v>
      </c>
      <c r="H82" s="15">
        <v>0</v>
      </c>
      <c r="I82" s="74"/>
      <c r="J82" s="251" cm="1">
        <f t="array" ref="J82">Scope3_Equations.VEERG_15_1_1_1__1_EmissionsFromPurchasedLivestock(E82,H82,IF(I82, I82,$E$76))</f>
        <v>0</v>
      </c>
      <c r="K82" s="33"/>
      <c r="L82" s="13"/>
      <c r="M82" s="33"/>
    </row>
    <row r="83" spans="4:13" ht="20.100000000000001" customHeight="1" x14ac:dyDescent="0.2">
      <c r="D83" s="15">
        <v>0</v>
      </c>
      <c r="E83" s="15">
        <v>0</v>
      </c>
      <c r="F83" s="15">
        <v>0</v>
      </c>
      <c r="G83" s="251" cm="1">
        <f t="array" ref="G83">Scope3_Equations.VEERG_15_1_1_1__1_EmissionsFromPurchasedLivestock(E83,F83,$E$76)</f>
        <v>0</v>
      </c>
      <c r="H83" s="15">
        <v>0</v>
      </c>
      <c r="I83" s="74"/>
      <c r="J83" s="251" cm="1">
        <f t="array" ref="J83">Scope3_Equations.VEERG_15_1_1_1__1_EmissionsFromPurchasedLivestock(E83,H83,IF(I83, I83,$E$76))</f>
        <v>0</v>
      </c>
      <c r="K83" s="33"/>
      <c r="L83" s="13"/>
      <c r="M83" s="33"/>
    </row>
    <row r="84" spans="4:13" ht="20.100000000000001" customHeight="1" x14ac:dyDescent="0.2">
      <c r="D84" s="15">
        <v>0</v>
      </c>
      <c r="E84" s="15">
        <v>0</v>
      </c>
      <c r="F84" s="15">
        <v>0</v>
      </c>
      <c r="G84" s="251" cm="1">
        <f t="array" ref="G84">Scope3_Equations.VEERG_15_1_1_1__1_EmissionsFromPurchasedLivestock(E84,F84,$E$76)</f>
        <v>0</v>
      </c>
      <c r="H84" s="15">
        <v>0</v>
      </c>
      <c r="I84" s="74"/>
      <c r="J84" s="251" cm="1">
        <f t="array" ref="J84">Scope3_Equations.VEERG_15_1_1_1__1_EmissionsFromPurchasedLivestock(E84,H84,IF(I84, I84,$E$76))</f>
        <v>0</v>
      </c>
      <c r="K84" s="33"/>
      <c r="L84" s="13"/>
      <c r="M84" s="33"/>
    </row>
    <row r="85" spans="4:13" ht="20.100000000000001" customHeight="1" x14ac:dyDescent="0.2">
      <c r="D85" s="15">
        <v>0</v>
      </c>
      <c r="E85" s="15">
        <v>0</v>
      </c>
      <c r="F85" s="15">
        <v>0</v>
      </c>
      <c r="G85" s="251" cm="1">
        <f t="array" ref="G85">Scope3_Equations.VEERG_15_1_1_1__1_EmissionsFromPurchasedLivestock(E85,F85,$E$76)</f>
        <v>0</v>
      </c>
      <c r="H85" s="15">
        <v>0</v>
      </c>
      <c r="I85" s="74"/>
      <c r="J85" s="251" cm="1">
        <f t="array" ref="J85">Scope3_Equations.VEERG_15_1_1_1__1_EmissionsFromPurchasedLivestock(E85,H85,IF(I85, I85,$E$76))</f>
        <v>0</v>
      </c>
      <c r="K85" s="33"/>
      <c r="L85" s="13"/>
      <c r="M85" s="33"/>
    </row>
    <row r="86" spans="4:13" ht="20.100000000000001" customHeight="1" x14ac:dyDescent="0.2">
      <c r="D86" s="15">
        <v>0</v>
      </c>
      <c r="E86" s="15">
        <v>0</v>
      </c>
      <c r="F86" s="15">
        <v>0</v>
      </c>
      <c r="G86" s="251" cm="1">
        <f t="array" ref="G86">Scope3_Equations.VEERG_15_1_1_1__1_EmissionsFromPurchasedLivestock(E86,F86,$E$76)</f>
        <v>0</v>
      </c>
      <c r="H86" s="15">
        <v>0</v>
      </c>
      <c r="I86" s="74"/>
      <c r="J86" s="251" cm="1">
        <f t="array" ref="J86">Scope3_Equations.VEERG_15_1_1_1__1_EmissionsFromPurchasedLivestock(E86,H86,IF(I86, I86,$E$76))</f>
        <v>0</v>
      </c>
      <c r="K86" s="33"/>
      <c r="L86" s="13"/>
      <c r="M86" s="33"/>
    </row>
    <row r="87" spans="4:13" ht="20.100000000000001" customHeight="1" x14ac:dyDescent="0.2">
      <c r="D87" s="15">
        <v>0</v>
      </c>
      <c r="E87" s="15">
        <v>0</v>
      </c>
      <c r="F87" s="15">
        <v>0</v>
      </c>
      <c r="G87" s="251" cm="1">
        <f t="array" ref="G87">Scope3_Equations.VEERG_15_1_1_1__1_EmissionsFromPurchasedLivestock(E87,F87,$E$76)</f>
        <v>0</v>
      </c>
      <c r="H87" s="15">
        <v>0</v>
      </c>
      <c r="I87" s="74"/>
      <c r="J87" s="251" cm="1">
        <f t="array" ref="J87">Scope3_Equations.VEERG_15_1_1_1__1_EmissionsFromPurchasedLivestock(E87,H87,IF(I87, I87,$E$76))</f>
        <v>0</v>
      </c>
      <c r="K87" s="33"/>
      <c r="L87" s="13"/>
      <c r="M87" s="33"/>
    </row>
    <row r="88" spans="4:13" ht="20.100000000000001" customHeight="1" x14ac:dyDescent="0.2">
      <c r="D88" s="15">
        <v>0</v>
      </c>
      <c r="E88" s="15">
        <v>0</v>
      </c>
      <c r="F88" s="15">
        <v>0</v>
      </c>
      <c r="G88" s="251" cm="1">
        <f t="array" ref="G88">Scope3_Equations.VEERG_15_1_1_1__1_EmissionsFromPurchasedLivestock(E88,F88,$E$76)</f>
        <v>0</v>
      </c>
      <c r="H88" s="15">
        <v>0</v>
      </c>
      <c r="I88" s="74"/>
      <c r="J88" s="251" cm="1">
        <f t="array" ref="J88">Scope3_Equations.VEERG_15_1_1_1__1_EmissionsFromPurchasedLivestock(E88,H88,IF(I88, I88,$E$76))</f>
        <v>0</v>
      </c>
      <c r="K88" s="33"/>
      <c r="L88" s="13"/>
      <c r="M88" s="33"/>
    </row>
    <row r="90" spans="4:13" ht="20.100000000000001" customHeight="1" x14ac:dyDescent="0.2">
      <c r="D90" s="88" t="s">
        <v>1061</v>
      </c>
      <c r="E90" s="83">
        <f>SUM(G79:G88)</f>
        <v>0.36720000000000003</v>
      </c>
      <c r="F90" s="89" t="str">
        <f>$E$11</f>
        <v>t CO2e</v>
      </c>
    </row>
    <row r="91" spans="4:13" ht="20.100000000000001" customHeight="1" x14ac:dyDescent="0.2">
      <c r="D91" s="88" t="s">
        <v>1062</v>
      </c>
      <c r="E91" s="83">
        <f>SUM(J79:J88)</f>
        <v>0.35940000000000005</v>
      </c>
      <c r="F91" s="89" t="str">
        <f>$E$11</f>
        <v>t CO2e</v>
      </c>
    </row>
    <row r="93" spans="4:13" ht="20.100000000000001" customHeight="1" x14ac:dyDescent="0.2">
      <c r="D93" s="85" t="s">
        <v>1041</v>
      </c>
      <c r="E93" s="86">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0.36720000000000003</v>
      </c>
      <c r="F93" s="95" t="str">
        <f>$E$11</f>
        <v>t CO2e</v>
      </c>
    </row>
    <row r="94" spans="4:13" ht="20.100000000000001" customHeight="1" x14ac:dyDescent="0.2">
      <c r="D94" s="85" t="s">
        <v>1044</v>
      </c>
      <c r="E94" s="86">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0.35940000000000005</v>
      </c>
      <c r="F94" s="95" t="str">
        <f>$E$11</f>
        <v>t CO2e</v>
      </c>
    </row>
    <row r="97" spans="1:41" ht="20.100000000000001" customHeight="1" x14ac:dyDescent="0.2">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row>
    <row r="98" spans="1:41" ht="20.100000000000001" customHeight="1" x14ac:dyDescent="0.2">
      <c r="A98" s="79" t="str">
        <f>HYPERLINK("#A1", "▲ Back to top")</f>
        <v>▲ Back to top</v>
      </c>
      <c r="D98" s="2" t="str" cm="1">
        <f t="array" ref="D98">Scope3_Equations.VEERG_15_2_1_1__1_EmissionsFromPurchasedFeed_Title()</f>
        <v>Emissions from purchased feed</v>
      </c>
    </row>
    <row r="99" spans="1:41" ht="20.100000000000001" customHeight="1" x14ac:dyDescent="0.2">
      <c r="D99" s="17" t="str" cm="1">
        <f t="array" ref="D99">Scope3_Equations.VEERG_15_2_1_1__1_EmissionsFromPurchasedFeed_Source()</f>
        <v>VEERG 2026: 15.2.1.1, Equation (1)</v>
      </c>
    </row>
    <row r="100" spans="1:41" ht="20.100000000000001" customHeight="1" x14ac:dyDescent="0.2">
      <c r="D100" s="25"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
      <c r="D101" s="112" t="s">
        <v>328</v>
      </c>
      <c r="E101" s="112" t="str" cm="1">
        <f t="array" aca="1" ref="E101" ca="1">Common_InputFunctions.Utility_DisplayFunctionName(G120)</f>
        <v>=Scope3_Equations.VEERG_15_2_1_1__1_EmissionsFromPurchasedFeedVariation</v>
      </c>
      <c r="H101" s="25"/>
    </row>
    <row r="103" spans="1:41" ht="20.100000000000001" customHeight="1" x14ac:dyDescent="0.2">
      <c r="H103" s="112"/>
    </row>
    <row r="104" spans="1:41" ht="20.100000000000001" customHeight="1" x14ac:dyDescent="0.2">
      <c r="D104" s="75" t="s">
        <v>329</v>
      </c>
      <c r="E104" s="1" t="str" cm="1">
        <f t="array" ref="E104">Scope3_Equations.VEERG_15_2_1_1__1_EmissionsFromPurchasedFeed_Variable()</f>
        <v>E</v>
      </c>
    </row>
    <row r="105" spans="1:41" ht="20.100000000000001" customHeight="1" x14ac:dyDescent="0.2">
      <c r="D105" s="75" t="s">
        <v>118</v>
      </c>
      <c r="E105" s="9" t="str" cm="1">
        <f t="array" ref="E105">Scope3_Equations.VEERG_15_2_1_1__1_EmissionsFromPurchasedFeed_Unit()</f>
        <v>t CO2e</v>
      </c>
    </row>
    <row r="107" spans="1:41" ht="20.100000000000001" customHeight="1" x14ac:dyDescent="0.2">
      <c r="D107" s="113" t="str" cm="1">
        <f t="array" ref="D107:E109">_xlfn.CHOOSECOLS(Scope3_Equations.VEERG_15_2_1_1__1_EmissionsFromPurchasedFeed_ArgumentsVariation(),1,2)</f>
        <v>Q_j</v>
      </c>
      <c r="E107" s="122" t="str">
        <v>quantity of feed type j purchased</v>
      </c>
      <c r="F107" s="123"/>
      <c r="G107" s="113" t="str" cm="1">
        <f t="array" ref="G107:H109">_xlfn.CHOOSECOLS(Scope3_Equations.VEERG_15_2_1_1__1_EmissionsFromPurchasedFeed_ArgumentsVariation(),3,4)</f>
        <v>kg</v>
      </c>
      <c r="H107" s="249" t="str">
        <v>Input</v>
      </c>
    </row>
    <row r="108" spans="1:41" ht="20.100000000000001" customHeight="1" x14ac:dyDescent="0.2">
      <c r="D108" s="113" t="str">
        <v>EF_j</v>
      </c>
      <c r="E108" s="122" t="str">
        <v>emission factor of purchased feed</v>
      </c>
      <c r="F108" s="123"/>
      <c r="G108" s="113" t="str">
        <v>kg CO2e/kg</v>
      </c>
      <c r="H108" s="115" t="str">
        <v>Constant</v>
      </c>
    </row>
    <row r="109" spans="1:41" ht="20.100000000000001" customHeight="1" x14ac:dyDescent="0.2">
      <c r="D109" s="113" t="str">
        <v>j</v>
      </c>
      <c r="E109" s="122" t="str">
        <v>feed type</v>
      </c>
      <c r="F109" s="123"/>
      <c r="G109" s="113" t="str">
        <v/>
      </c>
      <c r="H109" s="249" t="str">
        <v>Input</v>
      </c>
    </row>
    <row r="111" spans="1:41" ht="20.100000000000001" customHeight="1" x14ac:dyDescent="0.2">
      <c r="D111" s="244" t="s">
        <v>1063</v>
      </c>
    </row>
    <row r="113" spans="1:28" ht="20.100000000000001" customHeight="1" x14ac:dyDescent="0.2">
      <c r="D113" s="131" t="s">
        <v>1064</v>
      </c>
      <c r="E113" s="44"/>
      <c r="F113" s="131"/>
      <c r="G113" s="43"/>
      <c r="H113" s="44"/>
    </row>
    <row r="114" spans="1:28" ht="20.100000000000001" customHeight="1" x14ac:dyDescent="0.2">
      <c r="D114" s="132" t="s">
        <v>1065</v>
      </c>
      <c r="E114" s="134"/>
      <c r="F114" s="132"/>
      <c r="G114" s="133"/>
      <c r="H114" s="134"/>
    </row>
    <row r="115" spans="1:28" ht="20.100000000000001" customHeight="1" x14ac:dyDescent="0.2">
      <c r="D115" s="45" t="s">
        <v>1066</v>
      </c>
      <c r="E115" s="47"/>
      <c r="F115" s="45"/>
      <c r="G115" s="46"/>
      <c r="H115" s="47"/>
    </row>
    <row r="117" spans="1:28" ht="20.100000000000001" customHeight="1" x14ac:dyDescent="0.2">
      <c r="D117" s="35" t="s">
        <v>1067</v>
      </c>
      <c r="E117" s="37"/>
      <c r="F117" s="38"/>
    </row>
    <row r="119" spans="1:28" ht="20.100000000000001" customHeight="1" x14ac:dyDescent="0.2">
      <c r="D119" s="78" t="s">
        <v>1068</v>
      </c>
      <c r="E119" s="78" t="s">
        <v>1069</v>
      </c>
      <c r="F119" s="120" t="s">
        <v>1070</v>
      </c>
      <c r="G119" s="120" t="s">
        <v>1041</v>
      </c>
      <c r="H119" s="78" t="s">
        <v>1071</v>
      </c>
      <c r="I119" s="120" t="s">
        <v>1044</v>
      </c>
      <c r="J119" s="78" t="s">
        <v>1045</v>
      </c>
      <c r="K119" s="78" t="s">
        <v>1046</v>
      </c>
      <c r="L119" s="78" t="s">
        <v>1047</v>
      </c>
      <c r="M119" s="120" t="s">
        <v>697</v>
      </c>
      <c r="N119" s="120" t="s">
        <v>1072</v>
      </c>
      <c r="O119" s="120" t="s">
        <v>698</v>
      </c>
      <c r="P119" s="120" t="s">
        <v>1073</v>
      </c>
      <c r="Q119" s="120" t="s">
        <v>699</v>
      </c>
      <c r="R119" s="120" t="s">
        <v>1074</v>
      </c>
      <c r="S119" s="120" t="s">
        <v>700</v>
      </c>
      <c r="T119" s="120" t="s">
        <v>1075</v>
      </c>
      <c r="U119" s="120" t="s">
        <v>701</v>
      </c>
      <c r="V119" s="120" t="s">
        <v>1076</v>
      </c>
      <c r="W119" s="120" t="s">
        <v>702</v>
      </c>
      <c r="X119" s="120" t="s">
        <v>1077</v>
      </c>
      <c r="Y119" s="120" t="s">
        <v>703</v>
      </c>
      <c r="Z119" s="120" t="s">
        <v>1078</v>
      </c>
      <c r="AA119" s="120" t="s">
        <v>704</v>
      </c>
      <c r="AB119" s="120" t="s">
        <v>1079</v>
      </c>
    </row>
    <row r="120" spans="1: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51" cm="1">
        <f t="array" ref="G120">Scope3_Equations.VEERG_15_2_1_1__1_EmissionsFromPurchasedFeedVariation(E120,F120)</f>
        <v>0.19527599999999998</v>
      </c>
      <c r="H120" s="74">
        <v>0.04</v>
      </c>
      <c r="I120" s="251" cm="1">
        <f t="array" ref="I120">Scope3_Equations.VEERG_15_2_1_1__1_EmissionsFromPurchasedFeedVariation(E120,IF(H120,H120, F120))</f>
        <v>4.8000000000000001E-2</v>
      </c>
      <c r="J120" s="33"/>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
      <c r="D121" s="15">
        <v>0</v>
      </c>
      <c r="E121" s="15">
        <v>3456</v>
      </c>
      <c r="F121" s="15">
        <f t="shared" si="0"/>
        <v>4.6000000000000006E-2</v>
      </c>
      <c r="G121" s="251" cm="1">
        <f t="array" ref="G121">Scope3_Equations.VEERG_15_2_1_1__1_EmissionsFromPurchasedFeedVariation(E121,F121)</f>
        <v>0.15897600000000003</v>
      </c>
      <c r="H121" s="74">
        <v>0.03</v>
      </c>
      <c r="I121" s="251" cm="1">
        <f t="array" ref="I121">Scope3_Equations.VEERG_15_2_1_1__1_EmissionsFromPurchasedFeedVariation(E121,IF(H121,H121, F121))</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t="str">
        <v>Hay bales in paddock</v>
      </c>
      <c r="E122" s="15">
        <v>300</v>
      </c>
      <c r="F122" s="15">
        <f t="shared" si="0"/>
        <v>0.27800000000000002</v>
      </c>
      <c r="G122" s="251" cm="1">
        <f t="array" ref="G122">Scope3_Equations.VEERG_15_2_1_1__1_EmissionsFromPurchasedFeedVariation(E122,F122)</f>
        <v>8.3400000000000002E-2</v>
      </c>
      <c r="H122" s="74">
        <v>0.14000000000000001</v>
      </c>
      <c r="I122" s="251" cm="1">
        <f t="array" ref="I122">Scope3_Equations.VEERG_15_2_1_1__1_EmissionsFromPurchasedFeedVariation(E122,IF(H122,H122, F122))</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v>0</v>
      </c>
      <c r="E123" s="15">
        <v>500</v>
      </c>
      <c r="F123" s="15">
        <f t="shared" si="0"/>
        <v>0.34499999999999997</v>
      </c>
      <c r="G123" s="251" cm="1">
        <f t="array" ref="G123">Scope3_Equations.VEERG_15_2_1_1__1_EmissionsFromPurchasedFeedVariation(E123,F123)</f>
        <v>0.17250000000000001</v>
      </c>
      <c r="H123" s="74"/>
      <c r="I123" s="251" cm="1">
        <f t="array" ref="I123">Scope3_Equations.VEERG_15_2_1_1__1_EmissionsFromPurchasedFeedVariation(E123,IF(H123,H123, F123))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v>0</v>
      </c>
      <c r="E124" s="15">
        <v>0</v>
      </c>
      <c r="F124" s="15">
        <f t="shared" si="0"/>
        <v>0</v>
      </c>
      <c r="G124" s="251" cm="1">
        <f t="array" ref="G124">Scope3_Equations.VEERG_15_2_1_1__1_EmissionsFromPurchasedFeedVariation(E124,F124)</f>
        <v>0</v>
      </c>
      <c r="H124" s="74"/>
      <c r="I124" s="251" cm="1">
        <f t="array" ref="I124">Scope3_Equations.VEERG_15_2_1_1__1_EmissionsFromPurchasedFeedVariation(E124,IF(H124,H124, F124))</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v>0</v>
      </c>
      <c r="E125" s="15">
        <v>0</v>
      </c>
      <c r="F125" s="15">
        <f t="shared" si="0"/>
        <v>0</v>
      </c>
      <c r="G125" s="251" cm="1">
        <f t="array" ref="G125">Scope3_Equations.VEERG_15_2_1_1__1_EmissionsFromPurchasedFeedVariation(E125,F125)</f>
        <v>0</v>
      </c>
      <c r="H125" s="74"/>
      <c r="I125" s="251" cm="1">
        <f t="array" ref="I125">Scope3_Equations.VEERG_15_2_1_1__1_EmissionsFromPurchasedFeedVariation(E125,IF(H125,H125, F125))</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D126" s="15">
        <v>0</v>
      </c>
      <c r="E126" s="15">
        <v>0</v>
      </c>
      <c r="F126" s="15">
        <f t="shared" si="0"/>
        <v>0</v>
      </c>
      <c r="G126" s="251" cm="1">
        <f t="array" ref="G126">Scope3_Equations.VEERG_15_2_1_1__1_EmissionsFromPurchasedFeedVariation(E126,F126)</f>
        <v>0</v>
      </c>
      <c r="H126" s="74"/>
      <c r="I126" s="251" cm="1">
        <f t="array" ref="I126">Scope3_Equations.VEERG_15_2_1_1__1_EmissionsFromPurchasedFeedVariation(E126,IF(H126,H126, F126))</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D127" s="15">
        <v>0</v>
      </c>
      <c r="E127" s="15">
        <v>0</v>
      </c>
      <c r="F127" s="15">
        <f t="shared" si="0"/>
        <v>0</v>
      </c>
      <c r="G127" s="251" cm="1">
        <f t="array" ref="G127">Scope3_Equations.VEERG_15_2_1_1__1_EmissionsFromPurchasedFeedVariation(E127,F127)</f>
        <v>0</v>
      </c>
      <c r="H127" s="74"/>
      <c r="I127" s="251" cm="1">
        <f t="array" ref="I127">Scope3_Equations.VEERG_15_2_1_1__1_EmissionsFromPurchasedFeedVariation(E127,IF(H127,H127, F127))</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A128" s="79" t="str">
        <f>HYPERLINK("#A1", "▲ Back to top")</f>
        <v>▲ Back to top</v>
      </c>
      <c r="D128" s="15">
        <v>0</v>
      </c>
      <c r="E128" s="15">
        <v>0</v>
      </c>
      <c r="F128" s="15">
        <f t="shared" si="0"/>
        <v>0</v>
      </c>
      <c r="G128" s="251" cm="1">
        <f t="array" ref="G128">Scope3_Equations.VEERG_15_2_1_1__1_EmissionsFromPurchasedFeedVariation(E128,F128)</f>
        <v>0</v>
      </c>
      <c r="H128" s="74"/>
      <c r="I128" s="251" cm="1">
        <f t="array" ref="I128">Scope3_Equations.VEERG_15_2_1_1__1_EmissionsFromPurchasedFeedVariation(E128,IF(H128,H128, F128))</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v>0</v>
      </c>
      <c r="E129" s="15">
        <v>0</v>
      </c>
      <c r="F129" s="15">
        <f t="shared" si="0"/>
        <v>0</v>
      </c>
      <c r="G129" s="251" cm="1">
        <f t="array" ref="G129">Scope3_Equations.VEERG_15_2_1_1__1_EmissionsFromPurchasedFeedVariation(E129,F129)</f>
        <v>0</v>
      </c>
      <c r="H129" s="74"/>
      <c r="I129" s="251" cm="1">
        <f t="array" ref="I129">Scope3_Equations.VEERG_15_2_1_1__1_EmissionsFromPurchasedFeedVariation(E129,IF(H129,H129, F129))</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88" t="s">
        <v>1041</v>
      </c>
      <c r="E131" s="83">
        <f>SUM(G120:G129)</f>
        <v>0.61015200000000003</v>
      </c>
      <c r="F131" s="89" t="str">
        <f>$E$105</f>
        <v>t CO2e</v>
      </c>
    </row>
    <row r="132" spans="4:28" ht="20.100000000000001" customHeight="1" x14ac:dyDescent="0.2">
      <c r="D132" s="88" t="s">
        <v>1044</v>
      </c>
      <c r="E132" s="83">
        <f>SUM(I120:I129)</f>
        <v>0.36618000000000001</v>
      </c>
      <c r="F132" s="89" t="str">
        <f>$E$105</f>
        <v>t CO2e</v>
      </c>
    </row>
    <row r="135" spans="4:28" ht="20.100000000000001" customHeight="1" x14ac:dyDescent="0.2">
      <c r="D135" s="244" t="s">
        <v>977</v>
      </c>
    </row>
    <row r="136" spans="4:28" ht="20.100000000000001" customHeight="1" x14ac:dyDescent="0.2">
      <c r="D136" s="78" t="s">
        <v>132</v>
      </c>
      <c r="E136" s="78" t="s">
        <v>1069</v>
      </c>
      <c r="F136" s="120" t="s">
        <v>1070</v>
      </c>
      <c r="G136" s="120" t="s">
        <v>1041</v>
      </c>
      <c r="H136" s="78" t="s">
        <v>1071</v>
      </c>
      <c r="I136" s="120" t="s">
        <v>1044</v>
      </c>
      <c r="J136" s="78" t="s">
        <v>1045</v>
      </c>
      <c r="K136" s="78" t="s">
        <v>1046</v>
      </c>
      <c r="L136" s="78" t="s">
        <v>1047</v>
      </c>
    </row>
    <row r="137" spans="4: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51" cm="1">
        <f t="array" ref="G137">Scope3_Equations.VEERG_15_2_1_1__1_EmissionsFromPurchasedFeedVariation(E137,F137)</f>
        <v>5.9400000000000001E-2</v>
      </c>
      <c r="H137" s="74">
        <v>0.5</v>
      </c>
      <c r="I137" s="251" cm="1">
        <f t="array" ref="I137">Scope3_Equations.VEERG_15_2_1_1__1_EmissionsFromPurchasedFeedVariation(E137,IF(H137,H137, F137))</f>
        <v>0.05</v>
      </c>
      <c r="J137" s="33"/>
      <c r="K137" s="13"/>
      <c r="L137" s="33"/>
    </row>
    <row r="138" spans="4: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51" cm="1">
        <f t="array" ref="G138">Scope3_Equations.VEERG_15_2_1_1__1_EmissionsFromPurchasedFeedVariation(E138,F138)</f>
        <v>4.19E-2</v>
      </c>
      <c r="H138" s="74">
        <v>0.4</v>
      </c>
      <c r="I138" s="251" cm="1">
        <f t="array" ref="I138">Scope3_Equations.VEERG_15_2_1_1__1_EmissionsFromPurchasedFeedVariation(E138,IF(H138,H138, F138))</f>
        <v>0.04</v>
      </c>
      <c r="J138" s="33"/>
      <c r="K138" s="13"/>
      <c r="L138" s="33"/>
    </row>
    <row r="139" spans="4:28" ht="20.100000000000001" customHeight="1" x14ac:dyDescent="0.2">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51" cm="1">
        <f t="array" ref="G139">Scope3_Equations.VEERG_15_2_1_1__1_EmissionsFromPurchasedFeedVariation(E139,F139)</f>
        <v>3.3300000000000003E-2</v>
      </c>
      <c r="H139" s="74">
        <v>0</v>
      </c>
      <c r="I139" s="251" cm="1">
        <f t="array" ref="I139">Scope3_Equations.VEERG_15_2_1_1__1_EmissionsFromPurchasedFeedVariation(E139,IF(H139,H139, F139))</f>
        <v>3.3300000000000003E-2</v>
      </c>
      <c r="J139" s="33"/>
      <c r="K139" s="13"/>
      <c r="L139" s="33"/>
    </row>
    <row r="140" spans="4: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51" cm="1">
        <f t="array" ref="G140">Scope3_Equations.VEERG_15_2_1_1__1_EmissionsFromPurchasedFeedVariation(E140,F140)</f>
        <v>4.0300000000000002E-2</v>
      </c>
      <c r="H140" s="74">
        <v>0</v>
      </c>
      <c r="I140" s="251" cm="1">
        <f t="array" ref="I140">Scope3_Equations.VEERG_15_2_1_1__1_EmissionsFromPurchasedFeedVariation(E140,IF(H140,H140, F140))</f>
        <v>4.0300000000000002E-2</v>
      </c>
      <c r="J140" s="33"/>
      <c r="K140" s="13"/>
      <c r="L140" s="33"/>
    </row>
    <row r="142" spans="4:28" ht="20.100000000000001" customHeight="1" x14ac:dyDescent="0.2">
      <c r="D142" s="88" t="s">
        <v>1041</v>
      </c>
      <c r="E142" s="83">
        <f>SUM(G137:G140)</f>
        <v>0.1749</v>
      </c>
      <c r="F142" s="89" t="str">
        <f>$E$105</f>
        <v>t CO2e</v>
      </c>
    </row>
    <row r="143" spans="4:28" ht="20.100000000000001" customHeight="1" x14ac:dyDescent="0.2">
      <c r="D143" s="88" t="s">
        <v>1044</v>
      </c>
      <c r="E143" s="83">
        <f>SUM(I137:I140)</f>
        <v>0.1636</v>
      </c>
      <c r="F143" s="89" t="str">
        <f>$E$105</f>
        <v>t CO2e</v>
      </c>
    </row>
    <row r="146" spans="1:12" ht="20.100000000000001" customHeight="1" x14ac:dyDescent="0.2">
      <c r="D146" s="244" t="s">
        <v>1080</v>
      </c>
    </row>
    <row r="147" spans="1:12" ht="20.100000000000001" customHeight="1" x14ac:dyDescent="0.2">
      <c r="D147" s="78" t="s">
        <v>132</v>
      </c>
      <c r="E147" s="78" t="s">
        <v>1069</v>
      </c>
      <c r="F147" s="120" t="s">
        <v>1070</v>
      </c>
      <c r="G147" s="120" t="s">
        <v>1041</v>
      </c>
      <c r="H147" s="78" t="s">
        <v>1071</v>
      </c>
      <c r="I147" s="120" t="s">
        <v>1044</v>
      </c>
      <c r="J147" s="78" t="s">
        <v>1045</v>
      </c>
      <c r="K147" s="78" t="s">
        <v>1046</v>
      </c>
      <c r="L147" s="78" t="s">
        <v>1047</v>
      </c>
    </row>
    <row r="148" spans="1: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1" cm="1">
        <f t="array" ref="G148">Scope3_Equations.VEERG_15_2_1_1__1_EmissionsFromPurchasedFeedVariation(E148,F148)</f>
        <v>0</v>
      </c>
      <c r="H148" s="74">
        <v>0.2</v>
      </c>
      <c r="I148" s="251" cm="1">
        <f t="array" ref="I148">Scope3_Equations.VEERG_15_2_1_1__1_EmissionsFromPurchasedFeedVariation(E148,IF(H148,H148, F148))</f>
        <v>0</v>
      </c>
      <c r="J148" s="33"/>
      <c r="K148" s="33"/>
      <c r="L148" s="33"/>
    </row>
    <row r="149" spans="1: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1" cm="1">
        <f t="array" ref="G149">Scope3_Equations.VEERG_15_2_1_1__1_EmissionsFromPurchasedFeedVariation(E149,F149)</f>
        <v>0</v>
      </c>
      <c r="H149" s="74">
        <v>0</v>
      </c>
      <c r="I149" s="251" cm="1">
        <f t="array" ref="I149">Scope3_Equations.VEERG_15_2_1_1__1_EmissionsFromPurchasedFeedVariation(E149,IF(H149,H149, F149))</f>
        <v>0</v>
      </c>
      <c r="J149" s="33"/>
      <c r="K149" s="33"/>
      <c r="L149" s="33"/>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1" cm="1">
        <f t="array" ref="G150">Scope3_Equations.VEERG_15_2_1_1__1_EmissionsFromPurchasedFeedVariation(E150,F150)</f>
        <v>0</v>
      </c>
      <c r="H150" s="74">
        <v>0</v>
      </c>
      <c r="I150" s="251" cm="1">
        <f t="array" ref="I150">Scope3_Equations.VEERG_15_2_1_1__1_EmissionsFromPurchasedFeedVariation(E150,IF(H150,H150, F150))</f>
        <v>0</v>
      </c>
      <c r="J150" s="33"/>
      <c r="K150" s="33"/>
      <c r="L150" s="33"/>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1" cm="1">
        <f t="array" ref="G151">Scope3_Equations.VEERG_15_2_1_1__1_EmissionsFromPurchasedFeedVariation(E151,F151)</f>
        <v>0</v>
      </c>
      <c r="H151" s="74">
        <v>0</v>
      </c>
      <c r="I151" s="251" cm="1">
        <f t="array" ref="I151">Scope3_Equations.VEERG_15_2_1_1__1_EmissionsFromPurchasedFeedVariation(E151,IF(H151,H151, F151))</f>
        <v>0</v>
      </c>
      <c r="J151" s="33"/>
      <c r="K151" s="33"/>
      <c r="L151" s="33"/>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1" cm="1">
        <f t="array" ref="G152">Scope3_Equations.VEERG_15_2_1_1__1_EmissionsFromPurchasedFeedVariation(E152,F152)</f>
        <v>0</v>
      </c>
      <c r="H152" s="74">
        <v>0</v>
      </c>
      <c r="I152" s="251" cm="1">
        <f t="array" ref="I152">Scope3_Equations.VEERG_15_2_1_1__1_EmissionsFromPurchasedFeedVariation(E152,IF(H152,H152, F152))</f>
        <v>0</v>
      </c>
      <c r="J152" s="33"/>
      <c r="K152" s="33"/>
      <c r="L152" s="33"/>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1" cm="1">
        <f t="array" ref="G153">Scope3_Equations.VEERG_15_2_1_1__1_EmissionsFromPurchasedFeedVariation(E153,F153)</f>
        <v>0</v>
      </c>
      <c r="H153" s="74">
        <v>0</v>
      </c>
      <c r="I153" s="251" cm="1">
        <f t="array" ref="I153">Scope3_Equations.VEERG_15_2_1_1__1_EmissionsFromPurchasedFeedVariation(E153,IF(H153,H153, F153))</f>
        <v>0</v>
      </c>
      <c r="J153" s="33"/>
      <c r="K153" s="33"/>
      <c r="L153" s="33"/>
    </row>
    <row r="155" spans="1:12" ht="20.100000000000001" customHeight="1" x14ac:dyDescent="0.2">
      <c r="D155" s="88" t="s">
        <v>1041</v>
      </c>
      <c r="E155" s="83">
        <f>SUM(G148:G153)</f>
        <v>0</v>
      </c>
      <c r="F155" s="89" t="str">
        <f>$E$105</f>
        <v>t CO2e</v>
      </c>
    </row>
    <row r="156" spans="1:12" ht="20.100000000000001" customHeight="1" x14ac:dyDescent="0.2">
      <c r="D156" s="88" t="s">
        <v>1044</v>
      </c>
      <c r="E156" s="83">
        <f>SUM(I148:I153)</f>
        <v>0</v>
      </c>
      <c r="F156" s="89" t="str">
        <f>$E$105</f>
        <v>t CO2e</v>
      </c>
    </row>
    <row r="158" spans="1:12" ht="20.100000000000001" customHeight="1" x14ac:dyDescent="0.2">
      <c r="A158" s="79" t="str">
        <f>HYPERLINK("#A1", "▲ Back to top")</f>
        <v>▲ Back to top</v>
      </c>
    </row>
    <row r="159" spans="1:12" ht="20.100000000000001" customHeight="1" x14ac:dyDescent="0.2">
      <c r="D159" s="85" t="s">
        <v>1041</v>
      </c>
      <c r="E159" s="86">
        <f>E131+E142+E155</f>
        <v>0.78505200000000008</v>
      </c>
      <c r="F159" s="95" t="str">
        <f>$E$105</f>
        <v>t CO2e</v>
      </c>
    </row>
    <row r="160" spans="1:12" ht="20.100000000000001" customHeight="1" x14ac:dyDescent="0.2">
      <c r="D160" s="85" t="s">
        <v>1044</v>
      </c>
      <c r="E160" s="86">
        <f>E132+E143+E156</f>
        <v>0.52978000000000003</v>
      </c>
      <c r="F160" s="95" t="str">
        <f>$E$105</f>
        <v>t CO2e</v>
      </c>
    </row>
    <row r="163" spans="3:41" ht="20.100000000000001" customHeight="1" x14ac:dyDescent="0.2">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row>
    <row r="164" spans="3:41" ht="20.100000000000001" customHeight="1" x14ac:dyDescent="0.2">
      <c r="D164" s="2" t="str" cm="1">
        <f t="array" ref="D164">Scope3_Equations.VEERG_15_3_1_1__1_EmissionsFromPurchasedMineralSupplements_Title()</f>
        <v>Total emissions from purchased mineral supplements</v>
      </c>
    </row>
    <row r="165" spans="3:41" ht="20.100000000000001" customHeight="1" x14ac:dyDescent="0.2">
      <c r="D165" s="17" t="str" cm="1">
        <f t="array" ref="D165">Scope3_Equations.VEERG_15_3_1_1__1_EmissionsFromPurchasedMineralSupplements_Source()</f>
        <v>VEERG 2026: 15.3.1.1, Equation (1)</v>
      </c>
    </row>
    <row r="166" spans="3:41" ht="20.100000000000001" customHeight="1" x14ac:dyDescent="0.2">
      <c r="D166" s="112" t="s">
        <v>328</v>
      </c>
      <c r="E166" s="112" t="str" cm="1">
        <f t="array" aca="1" ref="E166" ca="1">Common_InputFunctions.Utility_DisplayFunctionName(G177)</f>
        <v>=Scope3_Equations.VEERG_15_3_1_1__1_EmissionsFromPurchasedMineralSupplementsVariation</v>
      </c>
    </row>
    <row r="168" spans="3:41" ht="20.100000000000001" customHeight="1" x14ac:dyDescent="0.2">
      <c r="F168" s="25" t="str" cm="1">
        <f t="array" ref="F168">Scope3_Equations.VEERG_15_3_1_1__1_EmissionsFromPurchasedMineralSupplements_Variation()</f>
        <v>VARIATION ON SOURCE: Input Q_j in kg instead of t to match EF units. Multiply by 10^-3 to convert kg CO2e to t CO2e.</v>
      </c>
      <c r="H168" s="112"/>
    </row>
    <row r="169" spans="3:41" ht="20.100000000000001" customHeight="1" x14ac:dyDescent="0.2">
      <c r="D169" s="75" t="s">
        <v>329</v>
      </c>
      <c r="E169" s="1" t="str" cm="1">
        <f t="array" ref="E169">Scope3_Equations.VEERG_15_3_1_1__1_EmissionsFromPurchasedMineralSupplements_Variable()</f>
        <v>E</v>
      </c>
    </row>
    <row r="170" spans="3:41" ht="20.100000000000001" customHeight="1" x14ac:dyDescent="0.2">
      <c r="D170" s="75" t="s">
        <v>118</v>
      </c>
      <c r="E170" s="9" t="str" cm="1">
        <f t="array" ref="E170">Scope3_Equations.VEERG_15_3_1_1__1_EmissionsFromPurchasedMineralSupplements_Unit()</f>
        <v>t CO2e</v>
      </c>
    </row>
    <row r="172" spans="3:41" ht="20.100000000000001" customHeight="1" x14ac:dyDescent="0.2">
      <c r="D172" s="113" t="str" cm="1">
        <f t="array" ref="D172:E174">_xlfn.CHOOSECOLS(Scope3_Equations.VEERG_15_3_1_1__1_EmissionsFromPurchasedMineralSupplements_ArgumentsVariation(),1,2)</f>
        <v>Q_m</v>
      </c>
      <c r="E172" s="122" t="str">
        <v>total quantity of mineral supplement type m used</v>
      </c>
      <c r="F172" s="123"/>
      <c r="G172" s="113" t="str" cm="1">
        <f t="array" ref="G172:H174">_xlfn.CHOOSECOLS(Scope3_Equations.VEERG_15_3_1_1__1_EmissionsFromPurchasedMineralSupplements_ArgumentsVariation(),3,4)</f>
        <v>kg</v>
      </c>
      <c r="H172" s="249" t="str">
        <v>Input</v>
      </c>
    </row>
    <row r="173" spans="3:41" ht="20.100000000000001" customHeight="1" x14ac:dyDescent="0.2">
      <c r="D173" s="113" t="str">
        <v>EF_m</v>
      </c>
      <c r="E173" s="122" t="str">
        <v>emission factor of purchased mineral supplement</v>
      </c>
      <c r="F173" s="123"/>
      <c r="G173" s="113" t="str">
        <v>kg CO2e/kg</v>
      </c>
      <c r="H173" s="249" t="str">
        <v>Constant</v>
      </c>
    </row>
    <row r="174" spans="3:41" ht="20.100000000000001" customHeight="1" x14ac:dyDescent="0.2">
      <c r="D174" s="113" t="str">
        <v>m</v>
      </c>
      <c r="E174" s="122" t="str">
        <v>mineral supplement type</v>
      </c>
      <c r="F174" s="123"/>
      <c r="G174" s="113" t="str">
        <v/>
      </c>
      <c r="H174" s="115" t="str">
        <v>Input</v>
      </c>
    </row>
    <row r="176" spans="3:41" ht="20.100000000000001" customHeight="1" x14ac:dyDescent="0.2">
      <c r="D176" s="78" t="s">
        <v>132</v>
      </c>
      <c r="E176" s="78" t="s">
        <v>1081</v>
      </c>
      <c r="F176" s="120" t="s">
        <v>1082</v>
      </c>
      <c r="G176" s="120" t="s">
        <v>1041</v>
      </c>
      <c r="H176" s="78" t="s">
        <v>1083</v>
      </c>
      <c r="I176" s="120" t="s">
        <v>1044</v>
      </c>
      <c r="J176" s="78" t="s">
        <v>1045</v>
      </c>
      <c r="K176" s="78" t="s">
        <v>1046</v>
      </c>
      <c r="L176" s="78" t="s">
        <v>1047</v>
      </c>
    </row>
    <row r="177" spans="1: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51" cm="1">
        <f t="array" ref="G177">Scope3_Equations.VEERG_15_3_1_1__1_EmissionsFromPurchasedMineralSupplementsVariation(E177,F177)</f>
        <v>8.8099999999999998E-2</v>
      </c>
      <c r="H177" s="74">
        <v>0.8</v>
      </c>
      <c r="I177" s="251" cm="1">
        <f t="array" ref="I177">Scope3_Equations.VEERG_15_3_1_1__1_EmissionsFromPurchasedMineralSupplementsVariation(E177,IF(H177, H177, F177))</f>
        <v>0.08</v>
      </c>
      <c r="J177" s="33"/>
      <c r="K177" s="13"/>
      <c r="L177" s="33"/>
    </row>
    <row r="178" spans="1: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51" cm="1">
        <f t="array" ref="G178">Scope3_Equations.VEERG_15_3_1_1__1_EmissionsFromPurchasedMineralSupplementsVariation(E178,F178)</f>
        <v>6.770000000000001E-2</v>
      </c>
      <c r="H178" s="74">
        <v>0.6</v>
      </c>
      <c r="I178" s="251" cm="1">
        <f t="array" ref="I178">Scope3_Equations.VEERG_15_3_1_1__1_EmissionsFromPurchasedMineralSupplementsVariation(E178,IF(H178, H178, F178))</f>
        <v>0.06</v>
      </c>
      <c r="J178" s="33"/>
      <c r="K178" s="13"/>
      <c r="L178" s="33"/>
    </row>
    <row r="179" spans="1: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51" cm="1">
        <f t="array" ref="G179">Scope3_Equations.VEERG_15_3_1_1__1_EmissionsFromPurchasedMineralSupplementsVariation(E179,F179)</f>
        <v>2.3100000000000002E-2</v>
      </c>
      <c r="H179" s="74">
        <v>0.2</v>
      </c>
      <c r="I179" s="251" cm="1">
        <f t="array" ref="I179">Scope3_Equations.VEERG_15_3_1_1__1_EmissionsFromPurchasedMineralSupplementsVariation(E179,IF(H179, H179, F179))</f>
        <v>0.02</v>
      </c>
      <c r="J179" s="33"/>
      <c r="K179" s="13"/>
      <c r="L179" s="33"/>
    </row>
    <row r="181" spans="1:41" ht="20.100000000000001" customHeight="1" x14ac:dyDescent="0.2">
      <c r="D181" s="85" t="s">
        <v>1041</v>
      </c>
      <c r="E181" s="86">
        <f>SUM(G177:G179)</f>
        <v>0.1789</v>
      </c>
      <c r="F181" s="95" t="str">
        <f>$E$170</f>
        <v>t CO2e</v>
      </c>
    </row>
    <row r="182" spans="1:41" ht="20.100000000000001" customHeight="1" x14ac:dyDescent="0.2">
      <c r="D182" s="85" t="s">
        <v>1044</v>
      </c>
      <c r="E182" s="86">
        <f>SUM(I177:I179)</f>
        <v>0.16</v>
      </c>
      <c r="F182" s="95" t="str">
        <f>$E$170</f>
        <v>t CO2e</v>
      </c>
    </row>
    <row r="185" spans="1:41" ht="20.100000000000001" customHeight="1" x14ac:dyDescent="0.2">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row>
    <row r="186" spans="1:41" ht="20.100000000000001" customHeight="1" x14ac:dyDescent="0.2">
      <c r="D186" s="2" t="str" cm="1">
        <f t="array" ref="D186">Scope3_Equations.VEERG_15_4_1_1__X_EmissionFactorFromPurchasedFertiliserComponents_Title()</f>
        <v>Emission factor for fertiliser product derived from components</v>
      </c>
    </row>
    <row r="187" spans="1:41" ht="20.100000000000001" customHeight="1" x14ac:dyDescent="0.2">
      <c r="D187" s="17" t="str" cm="1">
        <f t="array" ref="D187">Scope3_Equations.VEERG_15_4_1_1__X_EmissionFactorFromPurchasedFertiliserComponents_Source()</f>
        <v>GAF</v>
      </c>
    </row>
    <row r="188" spans="1:41" ht="20.100000000000001" customHeight="1" x14ac:dyDescent="0.2">
      <c r="A188" s="79" t="str">
        <f>HYPERLINK("#A1", "▲ Back to top")</f>
        <v>▲ Back to top</v>
      </c>
      <c r="D188" s="25" t="str" cm="1">
        <f t="array" ref="D188">Scope3_Equations.VEERG_15_4_1_1__X_EmissionFactorFromPurchasedFertiliserComponents_Variation()</f>
        <v>VARIATION ON SOURCE: This equation is added to calculate an EF value from fertiliser components that can be used in 15.4.1.1 (1)</v>
      </c>
    </row>
    <row r="189" spans="1:41" ht="20.100000000000001" customHeight="1" x14ac:dyDescent="0.2">
      <c r="D189" s="112" t="s">
        <v>328</v>
      </c>
      <c r="E189" s="112" t="str" cm="1">
        <f t="array" aca="1" ref="E189" ca="1">Common_InputFunctions.Utility_DisplayFunctionName(F236)</f>
        <v>=Scope3_Equations.VEERG_15_4_1_1__X_EmissionFactorFromPurchasedFertiliserComponents</v>
      </c>
    </row>
    <row r="192" spans="1:41" ht="20.100000000000001" customHeight="1" x14ac:dyDescent="0.2">
      <c r="D192" s="75" t="s">
        <v>329</v>
      </c>
      <c r="E192" s="1" t="str" cm="1">
        <f t="array" ref="E192">Scope3_Equations.VEERG_15_4_1_1__X_EmissionFactorFromPurchasedFertiliserComponents_Variable()</f>
        <v>EF_f</v>
      </c>
    </row>
    <row r="193" spans="4:8" ht="20.100000000000001" customHeight="1" x14ac:dyDescent="0.2">
      <c r="D193" s="75" t="s">
        <v>118</v>
      </c>
      <c r="E193" s="9" t="str" cm="1">
        <f t="array" ref="E193">Scope3_Equations.VEERG_15_4_1_1__X_EmissionFactorFromPurchasedFertiliserComponents_Unit()</f>
        <v>kg CO2e/kg fertiliser</v>
      </c>
    </row>
    <row r="195" spans="4:8" ht="20.100000000000001" customHeight="1" x14ac:dyDescent="0.2">
      <c r="D195" s="113" t="str" cm="1">
        <f t="array" ref="D195:E198">_xlfn.CHOOSECOLS(Scope3_Equations.VEERG_15_4_1_1__X_EmissionFactorFromPurchasedFertiliserComponents_Arguments(),1,2)</f>
        <v>F_cf</v>
      </c>
      <c r="E195" s="122" t="str">
        <v>fraction of component c contained within the inorganic fertiliser f</v>
      </c>
      <c r="F195" s="123"/>
      <c r="G195" s="113" t="str" cm="1">
        <f t="array" ref="G195:H198">_xlfn.CHOOSECOLS(Scope3_Equations.VEERG_15_4_1_1__X_EmissionFactorFromPurchasedFertiliserComponents_Arguments(),3,4)</f>
        <v>wt%</v>
      </c>
      <c r="H195" s="249" t="str">
        <v>Input</v>
      </c>
    </row>
    <row r="196" spans="4:8" ht="20.100000000000001" customHeight="1" x14ac:dyDescent="0.2">
      <c r="D196" s="113" t="str">
        <v>EF_c</v>
      </c>
      <c r="E196" s="122" t="str">
        <v>emission factor for the production of component c</v>
      </c>
      <c r="F196" s="123"/>
      <c r="G196" s="113" t="str">
        <v>kg CO2e/kg component</v>
      </c>
      <c r="H196" s="115" t="str">
        <v>Constant</v>
      </c>
    </row>
    <row r="197" spans="4:8" ht="20.100000000000001" customHeight="1" x14ac:dyDescent="0.2">
      <c r="D197" s="113" t="str">
        <v>c</v>
      </c>
      <c r="E197" s="122" t="str">
        <v>fertiliser component</v>
      </c>
      <c r="F197" s="123"/>
      <c r="G197" s="113" t="str">
        <v/>
      </c>
      <c r="H197" s="249" t="str">
        <v>Input</v>
      </c>
    </row>
    <row r="198" spans="4:8" ht="20.100000000000001" customHeight="1" x14ac:dyDescent="0.2">
      <c r="D198" s="113" t="str">
        <v>f</v>
      </c>
      <c r="E198" s="122" t="str">
        <v>inorganic fertiliser type</v>
      </c>
      <c r="F198" s="123"/>
      <c r="G198" s="113" t="str">
        <v/>
      </c>
      <c r="H198" s="249" t="str">
        <v>Input</v>
      </c>
    </row>
    <row r="201" spans="4:8" ht="20.100000000000001" customHeight="1" x14ac:dyDescent="0.2">
      <c r="D201" s="2" t="str" cm="1">
        <f t="array" ref="D201">Scope3_Equations.VEERG_15_4_1_1__1_EmissionsFromPurchasedFertiliser_Title()</f>
        <v>Emissions from purchased fertiliser</v>
      </c>
    </row>
    <row r="202" spans="4:8" ht="20.100000000000001" customHeight="1" x14ac:dyDescent="0.2">
      <c r="D202" s="17" t="str" cm="1">
        <f t="array" ref="D202">Scope3_Equations.VEERG_15_4_1_1__1_EmissionsFromPurchasedFertiliser_Source()</f>
        <v>VEERG 2026: 15.4.1.1, Equation (1)</v>
      </c>
    </row>
    <row r="203" spans="4:8" ht="20.100000000000001" customHeight="1" x14ac:dyDescent="0.2">
      <c r="D203" s="112" t="s">
        <v>328</v>
      </c>
      <c r="E203" s="112" t="str" cm="1">
        <f t="array" aca="1" ref="E203" ca="1">Common_InputFunctions.Utility_DisplayFunctionName(G236)</f>
        <v>=Scope3_Equations.VEERG_15_4_1_1__1_EmissionsFromPurchasedFertiliser</v>
      </c>
    </row>
    <row r="206" spans="4:8" ht="20.100000000000001" customHeight="1" x14ac:dyDescent="0.2">
      <c r="D206" s="75" t="s">
        <v>329</v>
      </c>
      <c r="E206" s="1" t="str" cm="1">
        <f t="array" ref="E206">Scope3_Equations.VEERG_15_4_1_1__1_EmissionsFromPurchasedFertiliser_Variable()</f>
        <v>E</v>
      </c>
    </row>
    <row r="207" spans="4:8" ht="20.100000000000001" customHeight="1" x14ac:dyDescent="0.2">
      <c r="D207" s="75" t="s">
        <v>118</v>
      </c>
      <c r="E207" s="9" t="str" cm="1">
        <f t="array" ref="E207">Scope3_Equations.VEERG_15_4_1_1__1_EmissionsFromPurchasedFertiliser_Unit()</f>
        <v>t CO2e</v>
      </c>
    </row>
    <row r="209" spans="1:8" ht="20.100000000000001" customHeight="1" x14ac:dyDescent="0.2">
      <c r="D209" s="113" t="str" cm="1">
        <f t="array" ref="D209:E212">_xlfn.CHOOSECOLS(Scope3_Equations.VEERG_15_4_1_1__1_EmissionsFromPurchasedFertiliser_Arguments(),1,2)</f>
        <v>TM_jf</v>
      </c>
      <c r="E209" s="113" t="str">
        <v>quantity of inorganic fertiliser type f purchased and applied to production system j</v>
      </c>
      <c r="F209" s="113"/>
      <c r="G209" s="113" t="str" cm="1">
        <f t="array" ref="G209:H212">_xlfn.CHOOSECOLS(Scope3_Equations.VEERG_15_4_1_1__1_EmissionsFromPurchasedFertiliser_Arguments(),3,4)</f>
        <v>kg</v>
      </c>
      <c r="H209" s="249" t="str">
        <v>Input</v>
      </c>
    </row>
    <row r="210" spans="1:8" ht="20.100000000000001" customHeight="1" x14ac:dyDescent="0.2">
      <c r="D210" s="113" t="str">
        <v>EF_f</v>
      </c>
      <c r="E210" s="113" t="str">
        <v>emission factor of purchased inorganic fertiliser</v>
      </c>
      <c r="F210" s="113"/>
      <c r="G210" s="113" t="str">
        <v>kg CO2e/kg</v>
      </c>
      <c r="H210" s="115" t="str">
        <v>Constant</v>
      </c>
    </row>
    <row r="211" spans="1:8" ht="20.100000000000001" customHeight="1" x14ac:dyDescent="0.2">
      <c r="D211" s="113" t="str">
        <v>j</v>
      </c>
      <c r="E211" s="122" t="str">
        <v>production system</v>
      </c>
      <c r="F211" s="123"/>
      <c r="G211" s="113" t="str">
        <v/>
      </c>
      <c r="H211" s="249" t="str">
        <v>Input</v>
      </c>
    </row>
    <row r="212" spans="1:8" ht="20.100000000000001" customHeight="1" x14ac:dyDescent="0.2">
      <c r="D212" s="113" t="str">
        <v>f</v>
      </c>
      <c r="E212" s="122" t="str">
        <v>inorganic fertiliser type</v>
      </c>
      <c r="F212" s="123"/>
      <c r="G212" s="113" t="str">
        <v/>
      </c>
      <c r="H212" s="249" t="str">
        <v>Input</v>
      </c>
    </row>
    <row r="215" spans="1:8" ht="20.100000000000001" customHeight="1" x14ac:dyDescent="0.2">
      <c r="D215" s="2" t="str" cm="1">
        <f t="array" ref="D215">Scope3_Equations.VEERG_15_4_1_1__2_EmissionsFromPurchasedFertiliserComponents_Title()</f>
        <v>Emissions from purchased fertiliser components</v>
      </c>
    </row>
    <row r="216" spans="1:8" ht="20.100000000000001" customHeight="1" x14ac:dyDescent="0.2">
      <c r="D216" s="17" t="str" cm="1">
        <f t="array" ref="D216">Scope3_Equations.VEERG_15_4_1_1__2_EmissionsFromPurchasedFertiliserComponents_Source()</f>
        <v>VEERG 2026: 15.4.1.1, Equation (2)</v>
      </c>
    </row>
    <row r="217" spans="1:8" ht="20.100000000000001" customHeight="1" x14ac:dyDescent="0.2">
      <c r="D217" s="25"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1:8" ht="20.100000000000001" customHeight="1" x14ac:dyDescent="0.2">
      <c r="A218" s="79" t="str">
        <f>HYPERLINK("#A1", "▲ Back to top")</f>
        <v>▲ Back to top</v>
      </c>
      <c r="D218" s="112" t="s">
        <v>328</v>
      </c>
      <c r="E218" s="112" t="str" cm="1">
        <f t="array" aca="1" ref="E218" ca="1">Common_InputFunctions.Utility_DisplayFunctionName(H236)</f>
        <v>=Scope3_Equations.VEERG_15_4_1_1__2_EmissionsFromPurchasedFertiliserComponentsVariation</v>
      </c>
    </row>
    <row r="221" spans="1:8" ht="20.100000000000001" customHeight="1" x14ac:dyDescent="0.2">
      <c r="D221" s="75" t="s">
        <v>329</v>
      </c>
      <c r="E221" s="1" t="str" cm="1">
        <f t="array" ref="E221">Scope3_Equations.VEERG_15_4_1_1__2_EmissionsFromPurchasedFertiliserComponents_Variable()</f>
        <v>E</v>
      </c>
    </row>
    <row r="222" spans="1:8" ht="20.100000000000001" customHeight="1" x14ac:dyDescent="0.2">
      <c r="D222" s="75" t="s">
        <v>118</v>
      </c>
      <c r="E222" s="9" t="str" cm="1">
        <f t="array" ref="E222">Scope3_Equations.VEERG_15_4_1_1__2_EmissionsFromPurchasedFertiliserComponents_Unit()</f>
        <v>t CO2e</v>
      </c>
    </row>
    <row r="224" spans="1:8" ht="20.100000000000001" customHeight="1" x14ac:dyDescent="0.2">
      <c r="D224" s="113" t="str" cm="1">
        <f t="array" ref="D224:E229">_xlfn.CHOOSECOLS(Scope3_Equations.VEERG_15_4_1_1__2_EmissionsFromPurchasedFertiliserComponents_Arguments(),1,2)</f>
        <v>F_cf</v>
      </c>
      <c r="E224" s="122" t="str">
        <v>fraction of component c contained within the inorganic fertiliser f</v>
      </c>
      <c r="F224" s="123"/>
      <c r="G224" s="113" t="str" cm="1">
        <f t="array" ref="G224:H229">_xlfn.CHOOSECOLS(Scope3_Equations.VEERG_15_4_1_1__2_EmissionsFromPurchasedFertiliserComponents_Arguments(),3,4)</f>
        <v>wt%</v>
      </c>
      <c r="H224" s="249" t="str">
        <v>Input</v>
      </c>
    </row>
    <row r="225" spans="4:40" ht="20.100000000000001" customHeight="1" x14ac:dyDescent="0.2">
      <c r="D225" s="113" t="str">
        <v>TM_jf</v>
      </c>
      <c r="E225" s="122" t="str">
        <v>quantity of inorganic fertiliser type f purchased and applied to production system j</v>
      </c>
      <c r="F225" s="123"/>
      <c r="G225" s="113" t="str">
        <v>kg</v>
      </c>
      <c r="H225" s="115" t="str">
        <v>Input</v>
      </c>
    </row>
    <row r="226" spans="4:40" ht="20.100000000000001" customHeight="1" x14ac:dyDescent="0.2">
      <c r="D226" s="113" t="str">
        <v>EF_c</v>
      </c>
      <c r="E226" s="122" t="str">
        <v>emission factor for the production of component c</v>
      </c>
      <c r="F226" s="123"/>
      <c r="G226" s="113" t="str">
        <v>kg CO2e/kg component</v>
      </c>
      <c r="H226" s="115" t="str">
        <v>Constant</v>
      </c>
    </row>
    <row r="227" spans="4:40" ht="20.100000000000001" customHeight="1" x14ac:dyDescent="0.2">
      <c r="D227" s="113" t="str">
        <v>c</v>
      </c>
      <c r="E227" s="122" t="str">
        <v>fertiliser component</v>
      </c>
      <c r="F227" s="123"/>
      <c r="G227" s="113" t="str">
        <v/>
      </c>
      <c r="H227" s="249" t="str">
        <v>Input</v>
      </c>
    </row>
    <row r="228" spans="4:40" ht="20.100000000000001" customHeight="1" x14ac:dyDescent="0.2">
      <c r="D228" s="113" t="str">
        <v>f</v>
      </c>
      <c r="E228" s="122" t="str">
        <v>inorganic fertiliser type</v>
      </c>
      <c r="F228" s="123"/>
      <c r="G228" s="113" t="str">
        <v/>
      </c>
      <c r="H228" s="249" t="str">
        <v>Input</v>
      </c>
    </row>
    <row r="229" spans="4:40" ht="20.100000000000001" customHeight="1" x14ac:dyDescent="0.2">
      <c r="D229" s="113" t="str">
        <v>j</v>
      </c>
      <c r="E229" s="122" t="str">
        <v>production system</v>
      </c>
      <c r="F229" s="123"/>
      <c r="G229" s="113" t="str">
        <v/>
      </c>
      <c r="H229" s="249" t="str">
        <v>Input</v>
      </c>
    </row>
    <row r="231" spans="4:40" ht="20.100000000000001" customHeight="1" x14ac:dyDescent="0.2">
      <c r="D231" s="244" t="s">
        <v>1084</v>
      </c>
    </row>
    <row r="233" spans="4:40" ht="20.100000000000001" customHeight="1" x14ac:dyDescent="0.2">
      <c r="D233" s="35" t="s">
        <v>1085</v>
      </c>
      <c r="E233" s="37"/>
      <c r="F233" s="38"/>
    </row>
    <row r="235" spans="4:40" ht="20.100000000000001" customHeight="1" x14ac:dyDescent="0.2">
      <c r="D235" s="78" t="s">
        <v>132</v>
      </c>
      <c r="E235" s="78" t="s">
        <v>1086</v>
      </c>
      <c r="F235" s="120" t="s">
        <v>1087</v>
      </c>
      <c r="G235" s="120" t="s">
        <v>1088</v>
      </c>
      <c r="H235" s="120" t="s">
        <v>1089</v>
      </c>
      <c r="I235" s="78" t="s">
        <v>1090</v>
      </c>
      <c r="J235" s="120" t="s">
        <v>1091</v>
      </c>
      <c r="K235" s="120" t="s">
        <v>1092</v>
      </c>
      <c r="L235" s="78" t="s">
        <v>1045</v>
      </c>
      <c r="M235" s="78" t="s">
        <v>1046</v>
      </c>
      <c r="N235" s="78" t="s">
        <v>1047</v>
      </c>
      <c r="O235" s="120" t="s">
        <v>712</v>
      </c>
      <c r="P235" s="120" t="s">
        <v>713</v>
      </c>
      <c r="Q235" s="120" t="s">
        <v>697</v>
      </c>
      <c r="R235" s="120" t="s">
        <v>698</v>
      </c>
      <c r="S235" s="120" t="s">
        <v>1093</v>
      </c>
      <c r="T235" s="78" t="s">
        <v>1094</v>
      </c>
      <c r="U235" s="120" t="s">
        <v>699</v>
      </c>
      <c r="V235" s="120" t="s">
        <v>700</v>
      </c>
      <c r="W235" s="120" t="s">
        <v>1095</v>
      </c>
      <c r="X235" s="78" t="s">
        <v>1096</v>
      </c>
      <c r="Y235" s="120" t="s">
        <v>701</v>
      </c>
      <c r="Z235" s="120" t="s">
        <v>702</v>
      </c>
      <c r="AA235" s="120" t="s">
        <v>1097</v>
      </c>
      <c r="AB235" s="78" t="s">
        <v>1098</v>
      </c>
      <c r="AC235" s="120" t="s">
        <v>703</v>
      </c>
      <c r="AD235" s="120" t="s">
        <v>704</v>
      </c>
      <c r="AE235" s="120" t="s">
        <v>1099</v>
      </c>
      <c r="AF235" s="78" t="s">
        <v>1100</v>
      </c>
      <c r="AG235" s="120" t="s">
        <v>705</v>
      </c>
      <c r="AH235" s="120" t="s">
        <v>706</v>
      </c>
      <c r="AI235" s="120" t="s">
        <v>1101</v>
      </c>
      <c r="AJ235" s="78" t="s">
        <v>1102</v>
      </c>
      <c r="AK235" s="120" t="s">
        <v>707</v>
      </c>
      <c r="AL235" s="120" t="s">
        <v>708</v>
      </c>
      <c r="AM235" s="120" t="s">
        <v>1103</v>
      </c>
      <c r="AN235" s="78" t="s">
        <v>1104</v>
      </c>
    </row>
    <row r="236" spans="4: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51" cm="1">
        <f t="array" ref="G236">Scope3_Equations.VEERG_15_4_1_1__1_EmissionsFromPurchasedFertiliser(E236,F236)</f>
        <v>9.68</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74">
        <v>0.4</v>
      </c>
      <c r="J236" s="251" cm="1">
        <f t="array" ref="J236">Scope3_Equations.VEERG_15_4_1_1__1_EmissionsFromPurchasedFertiliser(E236,I236)</f>
        <v>4</v>
      </c>
      <c r="K236" s="251"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v>
      </c>
      <c r="L236" s="33"/>
      <c r="M236" s="13"/>
      <c r="N236"/>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4">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4">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4">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4">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4">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4"/>
    </row>
    <row r="237" spans="4:40" ht="20.100000000000001" customHeight="1" x14ac:dyDescent="0.2">
      <c r="D237" s="15" t="str">
        <v>Boost-It</v>
      </c>
      <c r="E237" s="15">
        <v>10000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51" cm="1">
        <f t="array" ref="G237">Scope3_Equations.VEERG_15_4_1_1__1_EmissionsFromPurchasedFertiliser(E237,F237)</f>
        <v>9.1618335199999983</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9.1618335199999983</v>
      </c>
      <c r="I237" s="74">
        <v>0.9</v>
      </c>
      <c r="J237" s="251" cm="1">
        <f t="array" ref="J237">Scope3_Equations.VEERG_15_4_1_1__1_EmissionsFromPurchasedFertiliser(E237,I237)</f>
        <v>9</v>
      </c>
      <c r="K237" s="251"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9.1618335199999983</v>
      </c>
      <c r="L237" s="33"/>
      <c r="M237" s="13"/>
      <c r="N237" s="33"/>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4"/>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4"/>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4"/>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4"/>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4"/>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4"/>
    </row>
    <row r="238" spans="4:40" ht="20.100000000000001" customHeight="1" x14ac:dyDescent="0.2">
      <c r="D238" s="15" t="str">
        <v>Cal-Gran 50/50</v>
      </c>
      <c r="E238" s="15">
        <v>10000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51" cm="1">
        <f t="array" ref="G238">Scope3_Equations.VEERG_15_4_1_1__1_EmissionsFromPurchasedFertiliser(E238,F238)</f>
        <v>8.7811999999999983</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8.7812000000000001</v>
      </c>
      <c r="I238" s="74">
        <v>0.4</v>
      </c>
      <c r="J238" s="251" cm="1">
        <f t="array" ref="J238">Scope3_Equations.VEERG_15_4_1_1__1_EmissionsFromPurchasedFertiliser(E238,I238)</f>
        <v>4</v>
      </c>
      <c r="K238" s="251"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8.7812000000000001</v>
      </c>
      <c r="L238" s="33"/>
      <c r="M238" s="13"/>
      <c r="N238" s="33"/>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4"/>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4"/>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4"/>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4"/>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4"/>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4"/>
    </row>
    <row r="239" spans="4:40" ht="20.100000000000001" customHeight="1" x14ac:dyDescent="0.2">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1"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4"/>
      <c r="J239" s="251" cm="1">
        <f t="array" ref="J239">Scope3_Equations.VEERG_15_4_1_1__1_EmissionsFromPurchasedFertiliser(E239,I239)</f>
        <v>0</v>
      </c>
      <c r="K239" s="251"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4"/>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4"/>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4"/>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4"/>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4"/>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4"/>
    </row>
    <row r="240" spans="4:40" ht="20.100000000000001" customHeight="1" x14ac:dyDescent="0.2">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1"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4"/>
      <c r="J240" s="251" cm="1">
        <f t="array" ref="J240">Scope3_Equations.VEERG_15_4_1_1__1_EmissionsFromPurchasedFertiliser(E240,I240)</f>
        <v>0</v>
      </c>
      <c r="K240" s="251"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4"/>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4"/>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4"/>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4"/>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4"/>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4"/>
    </row>
    <row r="241" spans="1:40" ht="20.100000000000001" customHeight="1" x14ac:dyDescent="0.2">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1"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4"/>
      <c r="J241" s="251" cm="1">
        <f t="array" ref="J241">Scope3_Equations.VEERG_15_4_1_1__1_EmissionsFromPurchasedFertiliser(E241,I241)</f>
        <v>0</v>
      </c>
      <c r="K241" s="251"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4"/>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4"/>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4"/>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4"/>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4"/>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4"/>
    </row>
    <row r="242" spans="1:40" ht="20.100000000000001" customHeight="1" x14ac:dyDescent="0.2">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1"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4"/>
      <c r="J242" s="251" cm="1">
        <f t="array" ref="J242">Scope3_Equations.VEERG_15_4_1_1__1_EmissionsFromPurchasedFertiliser(E242,I242)</f>
        <v>0</v>
      </c>
      <c r="K242" s="251"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4"/>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4"/>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4"/>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4"/>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4"/>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4"/>
    </row>
    <row r="243" spans="1:40" ht="20.100000000000001" customHeight="1" x14ac:dyDescent="0.2">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1"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4"/>
      <c r="J243" s="251" cm="1">
        <f t="array" ref="J243">Scope3_Equations.VEERG_15_4_1_1__1_EmissionsFromPurchasedFertiliser(E243,I243)</f>
        <v>0</v>
      </c>
      <c r="K243" s="251"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4"/>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4"/>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4"/>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4"/>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4"/>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4"/>
    </row>
    <row r="244" spans="1:40" ht="20.100000000000001" customHeight="1" x14ac:dyDescent="0.2">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1"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4"/>
      <c r="J244" s="251" cm="1">
        <f t="array" ref="J244">Scope3_Equations.VEERG_15_4_1_1__1_EmissionsFromPurchasedFertiliser(E244,I244)</f>
        <v>0</v>
      </c>
      <c r="K244" s="251"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4"/>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4"/>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4"/>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4"/>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4"/>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4"/>
    </row>
    <row r="245" spans="1:40" ht="20.100000000000001" customHeight="1" x14ac:dyDescent="0.2">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1"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4"/>
      <c r="J245" s="251" cm="1">
        <f t="array" ref="J245">Scope3_Equations.VEERG_15_4_1_1__1_EmissionsFromPurchasedFertiliser(E245,I245)</f>
        <v>0</v>
      </c>
      <c r="K245" s="251"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4"/>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4"/>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4"/>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4"/>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4"/>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4"/>
    </row>
    <row r="247" spans="1:40" ht="20.100000000000001" customHeight="1" x14ac:dyDescent="0.2">
      <c r="D247" s="244" t="s">
        <v>1105</v>
      </c>
    </row>
    <row r="248" spans="1:40" ht="20.100000000000001" customHeight="1" x14ac:dyDescent="0.2">
      <c r="A248" s="79" t="str">
        <f>HYPERLINK("#A1", "▲ Back to top")</f>
        <v>▲ Back to top</v>
      </c>
    </row>
    <row r="249" spans="1:40" ht="20.100000000000001" customHeight="1" x14ac:dyDescent="0.2">
      <c r="D249" s="35" t="s">
        <v>1106</v>
      </c>
      <c r="E249" s="37"/>
      <c r="F249" s="38"/>
    </row>
    <row r="251" spans="1:40" ht="20.100000000000001" customHeight="1" x14ac:dyDescent="0.2">
      <c r="D251" s="78" t="s">
        <v>1068</v>
      </c>
      <c r="E251" s="78" t="s">
        <v>1086</v>
      </c>
      <c r="F251" s="120" t="s">
        <v>1087</v>
      </c>
      <c r="G251" s="120" t="s">
        <v>1088</v>
      </c>
      <c r="H251" s="120" t="s">
        <v>1089</v>
      </c>
      <c r="I251" s="78" t="s">
        <v>1090</v>
      </c>
      <c r="J251" s="120" t="s">
        <v>1091</v>
      </c>
      <c r="K251" s="120" t="s">
        <v>1092</v>
      </c>
      <c r="L251" s="78" t="s">
        <v>1045</v>
      </c>
      <c r="M251" s="78" t="s">
        <v>1046</v>
      </c>
      <c r="N251" s="78" t="s">
        <v>1047</v>
      </c>
      <c r="O251" s="120" t="s">
        <v>712</v>
      </c>
      <c r="P251" s="120" t="s">
        <v>713</v>
      </c>
      <c r="Q251" s="120" t="s">
        <v>697</v>
      </c>
      <c r="R251" s="120" t="s">
        <v>698</v>
      </c>
      <c r="S251" s="120" t="s">
        <v>1093</v>
      </c>
      <c r="T251" s="78" t="s">
        <v>1094</v>
      </c>
      <c r="U251" s="120" t="s">
        <v>699</v>
      </c>
      <c r="V251" s="120" t="s">
        <v>700</v>
      </c>
      <c r="W251" s="120" t="s">
        <v>1095</v>
      </c>
      <c r="X251" s="78" t="s">
        <v>1096</v>
      </c>
      <c r="Y251" s="120" t="s">
        <v>701</v>
      </c>
      <c r="Z251" s="120" t="s">
        <v>702</v>
      </c>
      <c r="AA251" s="120" t="s">
        <v>1097</v>
      </c>
      <c r="AB251" s="78" t="s">
        <v>1098</v>
      </c>
      <c r="AC251" s="120" t="s">
        <v>703</v>
      </c>
      <c r="AD251" s="120" t="s">
        <v>704</v>
      </c>
      <c r="AE251" s="120" t="s">
        <v>1099</v>
      </c>
      <c r="AF251" s="78" t="s">
        <v>1100</v>
      </c>
    </row>
    <row r="252" spans="1: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51" cm="1">
        <f t="array" ref="G252">Scope3_Equations.VEERG_15_4_1_1__1_EmissionsFromPurchasedFertiliser(E252,F252)</f>
        <v>17.708000000000002</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17.707999999999998</v>
      </c>
      <c r="I252" s="74">
        <v>0.4</v>
      </c>
      <c r="J252" s="251" cm="1">
        <f t="array" ref="J252">Scope3_Equations.VEERG_15_4_1_1__1_EmissionsFromPurchasedFertiliser(E252,I252)</f>
        <v>4</v>
      </c>
      <c r="K252" s="251"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33"/>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4">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4">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4">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4">
        <v>0</v>
      </c>
    </row>
    <row r="253" spans="1:40" ht="20.100000000000001" customHeight="1" x14ac:dyDescent="0.2">
      <c r="D253" s="15" t="str">
        <v>My second custom blend</v>
      </c>
      <c r="E253" s="15">
        <v>10000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51" cm="1">
        <f t="array" ref="G253">Scope3_Equations.VEERG_15_4_1_1__1_EmissionsFromPurchasedFertiliser(E253,F253)</f>
        <v>9.68</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74">
        <v>0.9</v>
      </c>
      <c r="J253" s="251" cm="1">
        <f t="array" ref="J253">Scope3_Equations.VEERG_15_4_1_1__1_EmissionsFromPurchasedFertiliser(E253,I253)</f>
        <v>9</v>
      </c>
      <c r="K253" s="251"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33"/>
      <c r="M253" s="13"/>
      <c r="N253" s="33"/>
      <c r="O253" s="252" t="str">
        <v/>
      </c>
      <c r="P253" s="252"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4"/>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4"/>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4"/>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4"/>
    </row>
    <row r="254" spans="1:40" ht="20.100000000000001" customHeight="1" x14ac:dyDescent="0.2">
      <c r="D254" s="15" t="str">
        <v>My third custom blend</v>
      </c>
      <c r="E254" s="15">
        <v>10000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51" cm="1">
        <f t="array" ref="G254">Scope3_Equations.VEERG_15_4_1_1__1_EmissionsFromPurchasedFertiliser(E254,F254)</f>
        <v>11.6</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11.6</v>
      </c>
      <c r="I254" s="74">
        <v>0.4</v>
      </c>
      <c r="J254" s="251" cm="1">
        <f t="array" ref="J254">Scope3_Equations.VEERG_15_4_1_1__1_EmissionsFromPurchasedFertiliser(E254,I254)</f>
        <v>4</v>
      </c>
      <c r="K254" s="251"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11.6</v>
      </c>
      <c r="L254" s="33"/>
      <c r="M254" s="13"/>
      <c r="N254" s="33"/>
      <c r="O254" s="252" t="str">
        <v/>
      </c>
      <c r="P254" s="252"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4"/>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4"/>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4"/>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4"/>
    </row>
    <row r="255" spans="1:40" ht="20.100000000000001" customHeight="1" x14ac:dyDescent="0.2">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1"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4"/>
      <c r="J255" s="251" cm="1">
        <f t="array" ref="J255">Scope3_Equations.VEERG_15_4_1_1__1_EmissionsFromPurchasedFertiliser(E255,I255)</f>
        <v>0</v>
      </c>
      <c r="K255" s="251"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3"/>
      <c r="M255" s="13"/>
      <c r="N255" s="33"/>
      <c r="O255" s="252" t="str">
        <v/>
      </c>
      <c r="P255" s="252"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4"/>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4"/>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4"/>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4"/>
    </row>
    <row r="256" spans="1:40" ht="20.100000000000001" customHeight="1" x14ac:dyDescent="0.2">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1"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4"/>
      <c r="J256" s="251" cm="1">
        <f t="array" ref="J256">Scope3_Equations.VEERG_15_4_1_1__1_EmissionsFromPurchasedFertiliser(E256,I256)</f>
        <v>0</v>
      </c>
      <c r="K256" s="251"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3"/>
      <c r="M256" s="13"/>
      <c r="N256" s="33"/>
      <c r="O256" s="252" t="str">
        <v/>
      </c>
      <c r="P256" s="252"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4"/>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4"/>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4"/>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4"/>
    </row>
    <row r="257" spans="3:41" ht="20.100000000000001" customHeight="1" x14ac:dyDescent="0.2">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1"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4"/>
      <c r="J257" s="251" cm="1">
        <f t="array" ref="J257">Scope3_Equations.VEERG_15_4_1_1__1_EmissionsFromPurchasedFertiliser(E257,I257)</f>
        <v>0</v>
      </c>
      <c r="K257" s="251"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3"/>
      <c r="M257" s="13"/>
      <c r="N257" s="33"/>
      <c r="O257" s="252" t="str">
        <v/>
      </c>
      <c r="P257" s="252"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4"/>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4"/>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4"/>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4"/>
    </row>
    <row r="258" spans="3:41" ht="20.100000000000001" customHeight="1" x14ac:dyDescent="0.2">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1"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4"/>
      <c r="J258" s="251" cm="1">
        <f t="array" ref="J258">Scope3_Equations.VEERG_15_4_1_1__1_EmissionsFromPurchasedFertiliser(E258,I258)</f>
        <v>0</v>
      </c>
      <c r="K258" s="251"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3"/>
      <c r="M258" s="13"/>
      <c r="N258" s="33"/>
      <c r="O258" s="252" t="str">
        <v/>
      </c>
      <c r="P258" s="252"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4"/>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4"/>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4"/>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4"/>
    </row>
    <row r="259" spans="3:41" ht="20.100000000000001" customHeight="1" x14ac:dyDescent="0.2">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1"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4"/>
      <c r="J259" s="251" cm="1">
        <f t="array" ref="J259">Scope3_Equations.VEERG_15_4_1_1__1_EmissionsFromPurchasedFertiliser(E259,I259)</f>
        <v>0</v>
      </c>
      <c r="K259" s="251"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3"/>
      <c r="M259" s="13"/>
      <c r="N259" s="33"/>
      <c r="O259" s="252" t="str">
        <v/>
      </c>
      <c r="P259" s="252"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4"/>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4"/>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4"/>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4"/>
    </row>
    <row r="260" spans="3:41" ht="20.100000000000001" customHeight="1" x14ac:dyDescent="0.2">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1"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4"/>
      <c r="J260" s="251" cm="1">
        <f t="array" ref="J260">Scope3_Equations.VEERG_15_4_1_1__1_EmissionsFromPurchasedFertiliser(E260,I260)</f>
        <v>0</v>
      </c>
      <c r="K260" s="251"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3"/>
      <c r="M260" s="13"/>
      <c r="N260" s="33"/>
      <c r="O260" s="252" t="str">
        <v/>
      </c>
      <c r="P260" s="252"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4"/>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4"/>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4"/>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4"/>
    </row>
    <row r="261" spans="3:41" ht="20.100000000000001" customHeight="1" x14ac:dyDescent="0.2">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1"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4"/>
      <c r="J261" s="251" cm="1">
        <f t="array" ref="J261">Scope3_Equations.VEERG_15_4_1_1__1_EmissionsFromPurchasedFertiliser(E261,I261)</f>
        <v>0</v>
      </c>
      <c r="K261" s="251"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3"/>
      <c r="M261" s="13"/>
      <c r="N261" s="33"/>
      <c r="O261" s="252" t="str">
        <v/>
      </c>
      <c r="P261" s="252"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4"/>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4"/>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4"/>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4"/>
    </row>
    <row r="263" spans="3:41" ht="20.100000000000001" customHeight="1" x14ac:dyDescent="0.2">
      <c r="D263" s="253" t="s">
        <v>1107</v>
      </c>
      <c r="E263" s="86">
        <f>SUM(G236:G245)+SUM(G252:G261)</f>
        <v>66.611033519999992</v>
      </c>
      <c r="F263" s="95" t="str">
        <f>$E$170</f>
        <v>t CO2e</v>
      </c>
    </row>
    <row r="264" spans="3:41" ht="20.100000000000001" customHeight="1" x14ac:dyDescent="0.2">
      <c r="D264" s="253" t="s">
        <v>1108</v>
      </c>
      <c r="E264" s="86">
        <f>SUM(J236:J245)+SUM(J252:J261)</f>
        <v>34</v>
      </c>
      <c r="F264" s="95" t="str">
        <f>$E$170</f>
        <v>t CO2e</v>
      </c>
    </row>
    <row r="266" spans="3:41" ht="20.100000000000001" customHeight="1" x14ac:dyDescent="0.2">
      <c r="D266" s="253" t="s">
        <v>1109</v>
      </c>
      <c r="E266" s="86">
        <f>SUM(H236:H245)+SUM(H252:H261)</f>
        <v>66.611033520000007</v>
      </c>
      <c r="F266" s="95" t="str">
        <f>$E$170</f>
        <v>t CO2e</v>
      </c>
    </row>
    <row r="267" spans="3:41" ht="20.100000000000001" customHeight="1" x14ac:dyDescent="0.2">
      <c r="D267" s="253" t="s">
        <v>1110</v>
      </c>
      <c r="E267" s="86">
        <f>SUM(K236:K245)+SUM(K252:K261)</f>
        <v>65.023033519999998</v>
      </c>
      <c r="F267" s="95" t="str">
        <f>$E$170</f>
        <v>t CO2e</v>
      </c>
    </row>
    <row r="270" spans="3:41" ht="20.100000000000001" customHeight="1" x14ac:dyDescent="0.2">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row>
    <row r="271" spans="3:41" ht="20.100000000000001" customHeight="1" x14ac:dyDescent="0.2">
      <c r="D271" s="2" t="str" cm="1">
        <f t="array" ref="D271">Scope3_Equations.VEERG_15_5_1_1__1_EmissionsFromPurchasedAgrichemicals_Title()</f>
        <v>Total emissions from purchased agrichemicals</v>
      </c>
    </row>
    <row r="272" spans="3:41" ht="20.100000000000001" customHeight="1" x14ac:dyDescent="0.2">
      <c r="D272" s="17" t="str" cm="1">
        <f t="array" ref="D272">Scope3_Equations.VEERG_15_5_1_1__1_EmissionsFromPurchasedAgrichemicals_Source()</f>
        <v>VEERG 2026: 15.5.1.1, Equation (1)</v>
      </c>
    </row>
    <row r="273" spans="1:9" ht="20.100000000000001" customHeight="1" x14ac:dyDescent="0.2">
      <c r="D273" s="112" t="s">
        <v>328</v>
      </c>
      <c r="E273" s="112" t="str" cm="1">
        <f t="array" aca="1" ref="E273" ca="1">Common_InputFunctions.Utility_DisplayFunctionName(G285)</f>
        <v>=Scope3_Equations.VEERG_15_5_1_1__1_EmissionsFromPurchasedAgrichemicals</v>
      </c>
    </row>
    <row r="277" spans="1:9" ht="20.100000000000001" customHeight="1" x14ac:dyDescent="0.2">
      <c r="D277" s="75" t="s">
        <v>329</v>
      </c>
      <c r="E277" s="1" t="str" cm="1">
        <f t="array" ref="E277">Scope3_Equations.VEERG_15_5_1_1__1_EmissionsFromPurchasedAgrichemicals_Variable()</f>
        <v>E</v>
      </c>
    </row>
    <row r="278" spans="1:9" ht="20.100000000000001" customHeight="1" x14ac:dyDescent="0.2">
      <c r="A278" s="79" t="str">
        <f>HYPERLINK("#A1", "▲ Back to top")</f>
        <v>▲ Back to top</v>
      </c>
      <c r="D278" s="75" t="s">
        <v>118</v>
      </c>
      <c r="E278" s="9" t="str" cm="1">
        <f t="array" ref="E278">Scope3_Equations.VEERG_15_5_1_1__1_EmissionsFromPurchasedAgrichemicals_Unit()</f>
        <v>t CO2e</v>
      </c>
    </row>
    <row r="280" spans="1:9" ht="20.100000000000001" customHeight="1" x14ac:dyDescent="0.2">
      <c r="D280" s="113" t="str" cm="1">
        <f t="array" ref="D280:E282">_xlfn.CHOOSECOLS(Scope3_Equations.VEERG_15_5_1_1__1_EmissionsFromPurchasedAgrichemicals_Arguments(),1,2)</f>
        <v>Q_h</v>
      </c>
      <c r="E280" s="122" t="str">
        <v>quantity of active ingredients in agrichemical type h purchased and applied to soils</v>
      </c>
      <c r="F280" s="123"/>
      <c r="G280" s="113" t="str" cm="1">
        <f t="array" ref="G280:H282">_xlfn.CHOOSECOLS(Scope3_Equations.VEERG_15_5_1_1__1_EmissionsFromPurchasedAgrichemicals_Arguments(),3,4)</f>
        <v>kg ai</v>
      </c>
      <c r="H280" s="249" t="str">
        <v>Input</v>
      </c>
    </row>
    <row r="281" spans="1:9" ht="20.100000000000001" customHeight="1" x14ac:dyDescent="0.2">
      <c r="D281" s="113" t="str">
        <v>EF_h</v>
      </c>
      <c r="E281" s="122" t="str">
        <v>emission factor for purchased agrichemical active ingredient</v>
      </c>
      <c r="F281" s="123"/>
      <c r="G281" s="113" t="str">
        <v>kg CO2e/kg ai</v>
      </c>
      <c r="H281" s="115" t="str">
        <v>Constant</v>
      </c>
    </row>
    <row r="282" spans="1:9" ht="20.100000000000001" customHeight="1" x14ac:dyDescent="0.2">
      <c r="D282" s="113" t="str">
        <v>h</v>
      </c>
      <c r="E282" s="122" t="str">
        <v>agrichemical type</v>
      </c>
      <c r="F282" s="123"/>
      <c r="G282" s="113" t="str">
        <v/>
      </c>
      <c r="H282" s="249" t="str">
        <v>Input</v>
      </c>
    </row>
    <row r="284" spans="1:9" ht="20.100000000000001" customHeight="1" x14ac:dyDescent="0.2">
      <c r="D284" s="78" t="s">
        <v>1111</v>
      </c>
      <c r="E284" s="78" t="s">
        <v>696</v>
      </c>
      <c r="F284" s="120" t="s">
        <v>1112</v>
      </c>
      <c r="G284" s="120" t="s">
        <v>1041</v>
      </c>
      <c r="H284" s="78" t="s">
        <v>1113</v>
      </c>
      <c r="I284" s="120" t="s">
        <v>1044</v>
      </c>
    </row>
    <row r="285" spans="1:9" ht="20.100000000000001" customHeight="1" x14ac:dyDescent="0.2">
      <c r="D285" s="15" t="str" cm="1">
        <f t="array" ref="D285:D296">Table_SourceData_Scope3_Pesticides[Product]</f>
        <v>2,4-D</v>
      </c>
      <c r="E285" s="15"/>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v>
      </c>
      <c r="H285" s="74">
        <v>5</v>
      </c>
      <c r="I285" s="15" cm="1">
        <f t="array" ref="I285">Scope3_Equations.VEERG_15_5_1_1__1_EmissionsFromPurchasedAgrichemicals($E285,IF(H285,H285,F285))</f>
        <v>0</v>
      </c>
    </row>
    <row r="286" spans="1:9" ht="20.100000000000001" customHeight="1" x14ac:dyDescent="0.2">
      <c r="D286" s="15" t="str">
        <v>Atrazine</v>
      </c>
      <c r="E286" s="15"/>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4">
        <v>8</v>
      </c>
      <c r="I286" s="15" cm="1">
        <f t="array" ref="I286">Scope3_Equations.VEERG_15_5_1_1__1_EmissionsFromPurchasedAgrichemicals($E286,IF(H286,H286,F286))</f>
        <v>0</v>
      </c>
    </row>
    <row r="287" spans="1:9" ht="20.100000000000001" customHeight="1" x14ac:dyDescent="0.2">
      <c r="D287" s="15" t="str">
        <v>Diuron</v>
      </c>
      <c r="E287" s="15"/>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4"/>
      <c r="I287" s="15" cm="1">
        <f t="array" ref="I287">Scope3_Equations.VEERG_15_5_1_1__1_EmissionsFromPurchasedAgrichemicals($E287,IF(H287,H287,F287))</f>
        <v>0</v>
      </c>
    </row>
    <row r="288" spans="1:9" ht="20.100000000000001" customHeight="1" x14ac:dyDescent="0.2">
      <c r="D288" s="15" t="str">
        <v>Glyphosate</v>
      </c>
      <c r="E288" s="15"/>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0</v>
      </c>
      <c r="H288" s="74"/>
      <c r="I288" s="15" cm="1">
        <f t="array" ref="I288">Scope3_Equations.VEERG_15_5_1_1__1_EmissionsFromPurchasedAgrichemicals($E288,IF(H288,H288,F288))</f>
        <v>0</v>
      </c>
    </row>
    <row r="289" spans="3:41" ht="20.100000000000001" customHeight="1" x14ac:dyDescent="0.2">
      <c r="D289" s="15" t="str">
        <v>Mancozeb</v>
      </c>
      <c r="E289" s="15"/>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4"/>
      <c r="I289" s="15" cm="1">
        <f t="array" ref="I289">Scope3_Equations.VEERG_15_5_1_1__1_EmissionsFromPurchasedAgrichemicals($E289,IF(H289,H289,F289))</f>
        <v>0</v>
      </c>
    </row>
    <row r="290" spans="3:41" ht="20.100000000000001" customHeight="1" x14ac:dyDescent="0.2">
      <c r="D290" s="15" t="str">
        <v>MCPA</v>
      </c>
      <c r="E290" s="15"/>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4"/>
      <c r="I290" s="15" cm="1">
        <f t="array" ref="I290">Scope3_Equations.VEERG_15_5_1_1__1_EmissionsFromPurchasedAgrichemicals($E290,IF(H290,H290,F290))</f>
        <v>0</v>
      </c>
    </row>
    <row r="291" spans="3:41" ht="20.100000000000001" customHeight="1" x14ac:dyDescent="0.2">
      <c r="D291" s="15" t="str">
        <v>Metolachlor</v>
      </c>
      <c r="E291" s="15"/>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v>
      </c>
      <c r="H291" s="74"/>
      <c r="I291" s="15" cm="1">
        <f t="array" ref="I291">Scope3_Equations.VEERG_15_5_1_1__1_EmissionsFromPurchasedAgrichemicals($E291,IF(H291,H291,F291))</f>
        <v>0</v>
      </c>
    </row>
    <row r="292" spans="3:41" ht="20.100000000000001" customHeight="1" x14ac:dyDescent="0.2">
      <c r="D292" s="15" t="str">
        <v>Metsulfuron-methyl</v>
      </c>
      <c r="E292" s="15"/>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4"/>
      <c r="I292" s="15" cm="1">
        <f t="array" ref="I292">Scope3_Equations.VEERG_15_5_1_1__1_EmissionsFromPurchasedAgrichemicals($E292,IF(H292,H292,F292))</f>
        <v>0</v>
      </c>
    </row>
    <row r="293" spans="3:41" ht="20.100000000000001" customHeight="1" x14ac:dyDescent="0.2">
      <c r="D293" s="15" t="str">
        <v>Pesticides (generic)</v>
      </c>
      <c r="E293" s="15"/>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0</v>
      </c>
      <c r="H293" s="74"/>
      <c r="I293" s="15" cm="1">
        <f t="array" ref="I293">Scope3_Equations.VEERG_15_5_1_1__1_EmissionsFromPurchasedAgrichemicals($E293,IF(H293,H293,F293))</f>
        <v>0</v>
      </c>
    </row>
    <row r="294" spans="3:41" ht="20.100000000000001" customHeight="1" x14ac:dyDescent="0.2">
      <c r="D294" s="15" t="str">
        <v>Tri-allate</v>
      </c>
      <c r="E294" s="15"/>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4"/>
      <c r="I294" s="15" cm="1">
        <f t="array" ref="I294">Scope3_Equations.VEERG_15_5_1_1__1_EmissionsFromPurchasedAgrichemicals($E294,IF(H294,H294,F294))</f>
        <v>0</v>
      </c>
    </row>
    <row r="295" spans="3:41" ht="20.100000000000001" customHeight="1" x14ac:dyDescent="0.2">
      <c r="D295" s="15" t="str">
        <v>Tribenuron methyl</v>
      </c>
      <c r="E295" s="15"/>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v>
      </c>
      <c r="H295" s="74"/>
      <c r="I295" s="15" cm="1">
        <f t="array" ref="I295">Scope3_Equations.VEERG_15_5_1_1__1_EmissionsFromPurchasedAgrichemicals($E295,IF(H295,H295,F295))</f>
        <v>0</v>
      </c>
    </row>
    <row r="296" spans="3:41" ht="20.100000000000001" customHeight="1" x14ac:dyDescent="0.2">
      <c r="D296" s="15" t="str">
        <v>Trifluralin</v>
      </c>
      <c r="E296" s="15"/>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v>
      </c>
      <c r="H296" s="74"/>
      <c r="I296" s="15" cm="1">
        <f t="array" ref="I296">Scope3_Equations.VEERG_15_5_1_1__1_EmissionsFromPurchasedAgrichemicals($E296,IF(H296,H296,F296))</f>
        <v>0</v>
      </c>
    </row>
    <row r="298" spans="3:41" ht="20.100000000000001" customHeight="1" x14ac:dyDescent="0.2">
      <c r="D298" s="253" t="s">
        <v>1041</v>
      </c>
      <c r="E298" s="86">
        <f>SUM(G285:G296)</f>
        <v>0</v>
      </c>
      <c r="F298" s="95" t="str">
        <f>$E$170</f>
        <v>t CO2e</v>
      </c>
    </row>
    <row r="299" spans="3:41" ht="20.100000000000001" customHeight="1" x14ac:dyDescent="0.2">
      <c r="D299" s="253" t="s">
        <v>1044</v>
      </c>
      <c r="E299" s="86">
        <f>SUM(I285:I296)</f>
        <v>0</v>
      </c>
      <c r="F299" s="95" t="str">
        <f>$E$170</f>
        <v>t CO2e</v>
      </c>
    </row>
    <row r="302" spans="3:41" ht="20.100000000000001" customHeight="1" x14ac:dyDescent="0.2">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row>
    <row r="303" spans="3:41" ht="20.100000000000001" customHeight="1" x14ac:dyDescent="0.2">
      <c r="D303" s="2" t="str" cm="1">
        <f t="array" ref="D303">Scope3_Equations.VEERG_15_6_1_1__1_EmissionsFromPurchasedLime_Title()</f>
        <v>Embedded emissions for purchased lime</v>
      </c>
    </row>
    <row r="304" spans="3:41" ht="20.100000000000001" customHeight="1" x14ac:dyDescent="0.2">
      <c r="D304" s="17" t="str" cm="1">
        <f t="array" ref="D304">Scope3_Equations.VEERG_15_6_1_1__1_EmissionsFromPurchasedLime_Source()</f>
        <v>VEERG 2026: 15.6.1.1, Equation (1)</v>
      </c>
    </row>
    <row r="305" spans="1:13" ht="20.100000000000001" customHeight="1" x14ac:dyDescent="0.2">
      <c r="D305" s="112" t="s">
        <v>328</v>
      </c>
      <c r="E305" s="112" t="str" cm="1">
        <f t="array" aca="1" ref="E305" ca="1">Common_InputFunctions.Utility_DisplayFunctionName(I320)</f>
        <v>=Scope3_Equations.VEERG_15_6_1_1__1_EmissionsFromPurchasedLime</v>
      </c>
    </row>
    <row r="308" spans="1:13" ht="20.100000000000001" customHeight="1" x14ac:dyDescent="0.2">
      <c r="A308" s="79" t="str">
        <f>HYPERLINK("#A1", "▲ Back to top")</f>
        <v>▲ Back to top</v>
      </c>
      <c r="D308" s="75" t="s">
        <v>329</v>
      </c>
      <c r="E308" s="1" t="str" cm="1">
        <f t="array" ref="E308">Scope3_Equations.VEERG_15_6_1_1__1_EmissionsFromPurchasedLime_Variable()</f>
        <v>E</v>
      </c>
    </row>
    <row r="309" spans="1:13" ht="20.100000000000001" customHeight="1" x14ac:dyDescent="0.2">
      <c r="D309" s="75" t="s">
        <v>118</v>
      </c>
      <c r="E309" s="1" t="str" cm="1">
        <f t="array" ref="E309">Scope3_Equations.VEERG_15_6_1_1__1_EmissionsFromPurchasedLime_Unit()</f>
        <v>t CO2e</v>
      </c>
    </row>
    <row r="311" spans="1:13" ht="20.100000000000001" customHeight="1" x14ac:dyDescent="0.2">
      <c r="D311" s="113" t="str" cm="1">
        <f t="array" ref="D311:E312">_xlfn.CHOOSECOLS(Scope3_Equations.VEERG_15_6_1_1__1_EmissionsFromPurchasedLime_Arguments(),1,2)</f>
        <v>M_lime</v>
      </c>
      <c r="E311" s="113" t="str">
        <v>total quantity of lime applied to soils</v>
      </c>
      <c r="F311" s="113" t="str" cm="1">
        <f t="array" ref="F311:G312">_xlfn.CHOOSECOLS(Scope3_Equations.VEERG_15_6_1_1__1_EmissionsFromPurchasedLime_Arguments(),3,4)</f>
        <v>t</v>
      </c>
      <c r="G311" s="249" t="str">
        <v>Input</v>
      </c>
    </row>
    <row r="312" spans="1:13" ht="20.100000000000001" customHeight="1" x14ac:dyDescent="0.2">
      <c r="D312" s="113" t="str">
        <v>EF_l</v>
      </c>
      <c r="E312" s="113" t="str">
        <v>emission factor for purchased lime</v>
      </c>
      <c r="F312" s="113" t="str">
        <v>t CO2e/t</v>
      </c>
      <c r="G312" s="115" t="str">
        <v>Constant</v>
      </c>
    </row>
    <row r="314" spans="1:13" ht="20.100000000000001" customHeight="1" x14ac:dyDescent="0.2">
      <c r="E314" s="120" t="s">
        <v>130</v>
      </c>
      <c r="F314" s="78" t="s">
        <v>131</v>
      </c>
    </row>
    <row r="315" spans="1:13" ht="20.100000000000001" customHeight="1" x14ac:dyDescent="0.2">
      <c r="D315" s="1" t="s">
        <v>1114</v>
      </c>
      <c r="E315" s="15" cm="1">
        <f t="array" ref="E315">Common_InputFunctions.Utility_LookupValueInTableNumber("Limestone (crushed)", Table_SourceData_Scope3_SoilAmeliorants[Product],Table_SourceData_Scope3_SoilAmeliorants[Emissions intensity])*10^-3</f>
        <v>4.85E-5</v>
      </c>
      <c r="F315" s="74">
        <v>4.0000000000000003E-5</v>
      </c>
      <c r="G315" s="16" t="str">
        <f>$F$312</f>
        <v>t CO2e/t</v>
      </c>
    </row>
    <row r="316" spans="1:13" ht="20.100000000000001" customHeight="1" x14ac:dyDescent="0.2">
      <c r="D316" s="1" t="s">
        <v>1115</v>
      </c>
      <c r="E316" s="15" cm="1">
        <f t="array" ref="E316">Common_InputFunctions.Utility_LookupValueInTableNumber("Dolomite", Table_SourceData_Scope3_SoilAmeliorants[Product],Table_SourceData_Scope3_SoilAmeliorants[Emissions intensity])*10^-3</f>
        <v>6.5199999999999999E-5</v>
      </c>
      <c r="F316" s="74">
        <v>6.0000000000000002E-5</v>
      </c>
      <c r="G316" s="16"/>
    </row>
    <row r="317" spans="1:13" ht="20.100000000000001" customHeight="1" x14ac:dyDescent="0.2">
      <c r="D317" s="1" t="s">
        <v>1116</v>
      </c>
      <c r="E317" s="15" cm="1">
        <f t="array" ref="E317">Common_InputFunctions.Utility_LookupValueInTableNumber("Gypsum", Table_SourceData_Scope3_SoilAmeliorants[Product],Table_SourceData_Scope3_SoilAmeliorants[Emissions intensity])*10^-3</f>
        <v>6.5199999999999999E-5</v>
      </c>
      <c r="F317" s="74">
        <v>6.0000000000000002E-5</v>
      </c>
      <c r="G317" s="16"/>
    </row>
    <row r="319" spans="1:13" ht="20.100000000000001" customHeight="1" x14ac:dyDescent="0.2">
      <c r="D319" s="78" t="s">
        <v>952</v>
      </c>
      <c r="E319" s="250" t="s">
        <v>1117</v>
      </c>
      <c r="F319" s="78" t="s">
        <v>1118</v>
      </c>
      <c r="G319" s="78" t="s">
        <v>1119</v>
      </c>
      <c r="H319" s="78" t="s">
        <v>1120</v>
      </c>
      <c r="I319" s="120" t="s">
        <v>1041</v>
      </c>
      <c r="J319" s="120" t="s">
        <v>1121</v>
      </c>
      <c r="K319" s="78" t="s">
        <v>1045</v>
      </c>
      <c r="L319" s="78" t="s">
        <v>1046</v>
      </c>
      <c r="M319" s="78" t="s">
        <v>1047</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v>
      </c>
      <c r="F320" s="15" cm="1">
        <f t="array" ref="F320:F329">IFERROR(INDEX(Table_Input_Lime[Percent Lime CaCO3], _xlfn.SEQUENCE(10)), 0)*E320</f>
        <v>80</v>
      </c>
      <c r="G320" s="15" cm="1">
        <f t="array" ref="G320:G329">IFERROR(INDEX(Table_Input_Lime[Percent Dolomite CaMg(CO3)2], _xlfn.SEQUENCE(10)), 0)*E320</f>
        <v>10</v>
      </c>
      <c r="H320" s="15" cm="1">
        <f t="array" ref="H320:H329">IFERROR(INDEX(Table_Input_Lime[Percent Gypsum], _xlfn.SEQUENCE(10)), 0)*E320</f>
        <v>10</v>
      </c>
      <c r="I320" s="251" cm="1">
        <f t="array" ref="I320">Scope3_Equations.VEERG_15_6_1_1__1_EmissionsFromPurchasedLime(F320,$E$315)+
Scope3_Equations.VEERG_15_6_1_1__1_EmissionsFromPurchasedLime(G320,$E$316)+
Scope3_Equations.VEERG_15_6_1_1__1_EmissionsFromPurchasedLime(H320,$E$317)</f>
        <v>5.1839999999999994E-3</v>
      </c>
      <c r="J320" s="251" cm="1">
        <f t="array" ref="J320">Scope3_Equations.VEERG_15_6_1_1__1_EmissionsFromPurchasedLime(F320,IF($F$315,$F$315,$E$315))+
Scope3_Equations.VEERG_15_6_1_1__1_EmissionsFromPurchasedLime(G320,IF($F$316,$F$316,$E$316))+
Scope3_Equations.VEERG_15_6_1_1__1_EmissionsFromPurchasedLime(H320,IF($F$317,$F$317,$E$317))</f>
        <v>4.4000000000000003E-3</v>
      </c>
      <c r="K320" s="33"/>
      <c r="L320" s="13"/>
      <c r="M320" s="33"/>
    </row>
    <row r="321" spans="3:41" ht="20.100000000000001" customHeight="1" x14ac:dyDescent="0.2">
      <c r="D321" s="15" t="str">
        <v>Lime product 2</v>
      </c>
      <c r="E321" s="15">
        <v>100</v>
      </c>
      <c r="F321" s="15">
        <v>100</v>
      </c>
      <c r="G321" s="15">
        <v>0</v>
      </c>
      <c r="H321" s="15">
        <v>0</v>
      </c>
      <c r="I321" s="251" cm="1">
        <f t="array" ref="I321">Scope3_Equations.VEERG_15_6_1_1__1_EmissionsFromPurchasedLime(F321,$E$315)+
Scope3_Equations.VEERG_15_6_1_1__1_EmissionsFromPurchasedLime(G321,$E$316)+
Scope3_Equations.VEERG_15_6_1_1__1_EmissionsFromPurchasedLime(H321,$E$317)</f>
        <v>4.8500000000000001E-3</v>
      </c>
      <c r="J321" s="251" cm="1">
        <f t="array" ref="J321">Scope3_Equations.VEERG_15_6_1_1__1_EmissionsFromPurchasedLime(F321,IF($F$315,$F$315,$E$315))+
Scope3_Equations.VEERG_15_6_1_1__1_EmissionsFromPurchasedLime(G321,IF($F$316,$F$316,$E$316))+
Scope3_Equations.VEERG_15_6_1_1__1_EmissionsFromPurchasedLime(H321,IF($F$317,$F$317,$E$317))</f>
        <v>4.0000000000000001E-3</v>
      </c>
      <c r="K321" s="33"/>
      <c r="L321" s="13"/>
      <c r="M321" s="33"/>
    </row>
    <row r="322" spans="3:41" ht="20.100000000000001" customHeight="1" x14ac:dyDescent="0.2">
      <c r="D322" s="15" t="str">
        <v>Lime product 3</v>
      </c>
      <c r="E322" s="15">
        <v>100</v>
      </c>
      <c r="F322" s="15">
        <v>0</v>
      </c>
      <c r="G322" s="15">
        <v>0</v>
      </c>
      <c r="H322" s="15">
        <v>100</v>
      </c>
      <c r="I322" s="251" cm="1">
        <f t="array" ref="I322">Scope3_Equations.VEERG_15_6_1_1__1_EmissionsFromPurchasedLime(F322,$E$315)+
Scope3_Equations.VEERG_15_6_1_1__1_EmissionsFromPurchasedLime(G322,$E$316)+
Scope3_Equations.VEERG_15_6_1_1__1_EmissionsFromPurchasedLime(H322,$E$317)</f>
        <v>6.5199999999999998E-3</v>
      </c>
      <c r="J322" s="251" cm="1">
        <f t="array" ref="J322">Scope3_Equations.VEERG_15_6_1_1__1_EmissionsFromPurchasedLime(F322,IF($F$315,$F$315,$E$315))+
Scope3_Equations.VEERG_15_6_1_1__1_EmissionsFromPurchasedLime(G322,IF($F$316,$F$316,$E$316))+
Scope3_Equations.VEERG_15_6_1_1__1_EmissionsFromPurchasedLime(H322,IF($F$317,$F$317,$E$317))</f>
        <v>6.0000000000000001E-3</v>
      </c>
      <c r="K322" s="33"/>
      <c r="L322" s="13"/>
      <c r="M322" s="33"/>
    </row>
    <row r="323" spans="3:41" ht="20.100000000000001" customHeight="1" x14ac:dyDescent="0.2">
      <c r="D323" s="15" t="str">
        <v/>
      </c>
      <c r="E323" s="15">
        <v>0</v>
      </c>
      <c r="F323" s="15">
        <v>0</v>
      </c>
      <c r="G323" s="15">
        <v>0</v>
      </c>
      <c r="H323" s="15">
        <v>0</v>
      </c>
      <c r="I323" s="251" cm="1">
        <f t="array" ref="I323">Scope3_Equations.VEERG_15_6_1_1__1_EmissionsFromPurchasedLime(F323,$E$315)+
Scope3_Equations.VEERG_15_6_1_1__1_EmissionsFromPurchasedLime(G323,$E$316)+
Scope3_Equations.VEERG_15_6_1_1__1_EmissionsFromPurchasedLime(H323,$E$317)</f>
        <v>0</v>
      </c>
      <c r="J323" s="251" cm="1">
        <f t="array" ref="J323">Scope3_Equations.VEERG_15_6_1_1__1_EmissionsFromPurchasedLime(F323,IF($F$315,$F$315,$E$315))+
Scope3_Equations.VEERG_15_6_1_1__1_EmissionsFromPurchasedLime(G323,IF($F$316,$F$316,$E$316))+
Scope3_Equations.VEERG_15_6_1_1__1_EmissionsFromPurchasedLime(H323,IF($F$317,$F$317,$E$317))</f>
        <v>0</v>
      </c>
      <c r="K323" s="33"/>
      <c r="L323" s="13"/>
      <c r="M323" s="33"/>
    </row>
    <row r="324" spans="3:41" ht="20.100000000000001" customHeight="1" x14ac:dyDescent="0.2">
      <c r="D324" s="15" t="str">
        <v/>
      </c>
      <c r="E324" s="15">
        <v>0</v>
      </c>
      <c r="F324" s="15">
        <v>0</v>
      </c>
      <c r="G324" s="15">
        <v>0</v>
      </c>
      <c r="H324" s="15">
        <v>0</v>
      </c>
      <c r="I324" s="251" cm="1">
        <f t="array" ref="I324">Scope3_Equations.VEERG_15_6_1_1__1_EmissionsFromPurchasedLime(F324,$E$315)+
Scope3_Equations.VEERG_15_6_1_1__1_EmissionsFromPurchasedLime(G324,$E$316)+
Scope3_Equations.VEERG_15_6_1_1__1_EmissionsFromPurchasedLime(H324,$E$317)</f>
        <v>0</v>
      </c>
      <c r="J324" s="251" cm="1">
        <f t="array" ref="J324">Scope3_Equations.VEERG_15_6_1_1__1_EmissionsFromPurchasedLime(F324,IF($F$315,$F$315,$E$315))+
Scope3_Equations.VEERG_15_6_1_1__1_EmissionsFromPurchasedLime(G324,IF($F$316,$F$316,$E$316))+
Scope3_Equations.VEERG_15_6_1_1__1_EmissionsFromPurchasedLime(H324,IF($F$317,$F$317,$E$317))</f>
        <v>0</v>
      </c>
      <c r="K324" s="33"/>
      <c r="L324" s="13"/>
      <c r="M324" s="33"/>
    </row>
    <row r="325" spans="3:41" ht="20.100000000000001" customHeight="1" x14ac:dyDescent="0.2">
      <c r="D325" s="15" t="str">
        <v/>
      </c>
      <c r="E325" s="15">
        <v>0</v>
      </c>
      <c r="F325" s="15">
        <v>0</v>
      </c>
      <c r="G325" s="15">
        <v>0</v>
      </c>
      <c r="H325" s="15">
        <v>0</v>
      </c>
      <c r="I325" s="251" cm="1">
        <f t="array" ref="I325">Scope3_Equations.VEERG_15_6_1_1__1_EmissionsFromPurchasedLime(F325,$E$315)+
Scope3_Equations.VEERG_15_6_1_1__1_EmissionsFromPurchasedLime(G325,$E$316)+
Scope3_Equations.VEERG_15_6_1_1__1_EmissionsFromPurchasedLime(H325,$E$317)</f>
        <v>0</v>
      </c>
      <c r="J325" s="251" cm="1">
        <f t="array" ref="J325">Scope3_Equations.VEERG_15_6_1_1__1_EmissionsFromPurchasedLime(F325,IF($F$315,$F$315,$E$315))+
Scope3_Equations.VEERG_15_6_1_1__1_EmissionsFromPurchasedLime(G325,IF($F$316,$F$316,$E$316))+
Scope3_Equations.VEERG_15_6_1_1__1_EmissionsFromPurchasedLime(H325,IF($F$317,$F$317,$E$317))</f>
        <v>0</v>
      </c>
      <c r="K325" s="33"/>
      <c r="L325" s="13"/>
      <c r="M325" s="33"/>
    </row>
    <row r="326" spans="3:41" ht="20.100000000000001" customHeight="1" x14ac:dyDescent="0.2">
      <c r="D326" s="15" t="str">
        <v/>
      </c>
      <c r="E326" s="15">
        <v>0</v>
      </c>
      <c r="F326" s="15">
        <v>0</v>
      </c>
      <c r="G326" s="15">
        <v>0</v>
      </c>
      <c r="H326" s="15">
        <v>0</v>
      </c>
      <c r="I326" s="251" cm="1">
        <f t="array" ref="I326">Scope3_Equations.VEERG_15_6_1_1__1_EmissionsFromPurchasedLime(F326,$E$315)+
Scope3_Equations.VEERG_15_6_1_1__1_EmissionsFromPurchasedLime(G326,$E$316)+
Scope3_Equations.VEERG_15_6_1_1__1_EmissionsFromPurchasedLime(H326,$E$317)</f>
        <v>0</v>
      </c>
      <c r="J326" s="251" cm="1">
        <f t="array" ref="J326">Scope3_Equations.VEERG_15_6_1_1__1_EmissionsFromPurchasedLime(F326,IF($F$315,$F$315,$E$315))+
Scope3_Equations.VEERG_15_6_1_1__1_EmissionsFromPurchasedLime(G326,IF($F$316,$F$316,$E$316))+
Scope3_Equations.VEERG_15_6_1_1__1_EmissionsFromPurchasedLime(H326,IF($F$317,$F$317,$E$317))</f>
        <v>0</v>
      </c>
      <c r="K326" s="33"/>
      <c r="L326" s="13"/>
      <c r="M326" s="33"/>
    </row>
    <row r="327" spans="3:41" ht="20.100000000000001" customHeight="1" x14ac:dyDescent="0.2">
      <c r="D327" s="15" t="str">
        <v/>
      </c>
      <c r="E327" s="15">
        <v>0</v>
      </c>
      <c r="F327" s="15">
        <v>0</v>
      </c>
      <c r="G327" s="15">
        <v>0</v>
      </c>
      <c r="H327" s="15">
        <v>0</v>
      </c>
      <c r="I327" s="251" cm="1">
        <f t="array" ref="I327">Scope3_Equations.VEERG_15_6_1_1__1_EmissionsFromPurchasedLime(F327,$E$315)+
Scope3_Equations.VEERG_15_6_1_1__1_EmissionsFromPurchasedLime(G327,$E$316)+
Scope3_Equations.VEERG_15_6_1_1__1_EmissionsFromPurchasedLime(H327,$E$317)</f>
        <v>0</v>
      </c>
      <c r="J327" s="251" cm="1">
        <f t="array" ref="J327">Scope3_Equations.VEERG_15_6_1_1__1_EmissionsFromPurchasedLime(F327,IF($F$315,$F$315,$E$315))+
Scope3_Equations.VEERG_15_6_1_1__1_EmissionsFromPurchasedLime(G327,IF($F$316,$F$316,$E$316))+
Scope3_Equations.VEERG_15_6_1_1__1_EmissionsFromPurchasedLime(H327,IF($F$317,$F$317,$E$317))</f>
        <v>0</v>
      </c>
      <c r="K327" s="33"/>
      <c r="L327" s="13"/>
      <c r="M327" s="33"/>
    </row>
    <row r="328" spans="3:41" ht="20.100000000000001" customHeight="1" x14ac:dyDescent="0.2">
      <c r="D328" s="15" t="str">
        <v/>
      </c>
      <c r="E328" s="15">
        <v>0</v>
      </c>
      <c r="F328" s="15">
        <v>0</v>
      </c>
      <c r="G328" s="15">
        <v>0</v>
      </c>
      <c r="H328" s="15">
        <v>0</v>
      </c>
      <c r="I328" s="251" cm="1">
        <f t="array" ref="I328">Scope3_Equations.VEERG_15_6_1_1__1_EmissionsFromPurchasedLime(F328,$E$315)+
Scope3_Equations.VEERG_15_6_1_1__1_EmissionsFromPurchasedLime(G328,$E$316)+
Scope3_Equations.VEERG_15_6_1_1__1_EmissionsFromPurchasedLime(H328,$E$317)</f>
        <v>0</v>
      </c>
      <c r="J328" s="251" cm="1">
        <f t="array" ref="J328">Scope3_Equations.VEERG_15_6_1_1__1_EmissionsFromPurchasedLime(F328,IF($F$315,$F$315,$E$315))+
Scope3_Equations.VEERG_15_6_1_1__1_EmissionsFromPurchasedLime(G328,IF($F$316,$F$316,$E$316))+
Scope3_Equations.VEERG_15_6_1_1__1_EmissionsFromPurchasedLime(H328,IF($F$317,$F$317,$E$317))</f>
        <v>0</v>
      </c>
      <c r="K328" s="33"/>
      <c r="L328" s="13"/>
      <c r="M328" s="33"/>
    </row>
    <row r="329" spans="3:41" ht="20.100000000000001" customHeight="1" x14ac:dyDescent="0.2">
      <c r="D329" s="15" t="str">
        <v/>
      </c>
      <c r="E329" s="15">
        <v>0</v>
      </c>
      <c r="F329" s="15">
        <v>0</v>
      </c>
      <c r="G329" s="15">
        <v>0</v>
      </c>
      <c r="H329" s="15">
        <v>0</v>
      </c>
      <c r="I329" s="251" cm="1">
        <f t="array" ref="I329">Scope3_Equations.VEERG_15_6_1_1__1_EmissionsFromPurchasedLime(F329,$E$315)+
Scope3_Equations.VEERG_15_6_1_1__1_EmissionsFromPurchasedLime(G329,$E$316)+
Scope3_Equations.VEERG_15_6_1_1__1_EmissionsFromPurchasedLime(H329,$E$317)</f>
        <v>0</v>
      </c>
      <c r="J329" s="251" cm="1">
        <f t="array" ref="J329">Scope3_Equations.VEERG_15_6_1_1__1_EmissionsFromPurchasedLime(F329,IF($F$315,$F$315,$E$315))+
Scope3_Equations.VEERG_15_6_1_1__1_EmissionsFromPurchasedLime(G329,IF($F$316,$F$316,$E$316))+
Scope3_Equations.VEERG_15_6_1_1__1_EmissionsFromPurchasedLime(H329,IF($F$317,$F$317,$E$317))</f>
        <v>0</v>
      </c>
      <c r="K329" s="33"/>
      <c r="L329" s="13"/>
      <c r="M329" s="33"/>
    </row>
    <row r="331" spans="3:41" ht="20.100000000000001" customHeight="1" x14ac:dyDescent="0.2">
      <c r="D331" s="253" t="s">
        <v>1041</v>
      </c>
      <c r="E331" s="86">
        <f>SUM(I320:I329)</f>
        <v>1.6553999999999999E-2</v>
      </c>
      <c r="F331" s="95" t="str">
        <f>$E$170</f>
        <v>t CO2e</v>
      </c>
    </row>
    <row r="332" spans="3:41" ht="20.100000000000001" customHeight="1" x14ac:dyDescent="0.2">
      <c r="D332" s="253" t="s">
        <v>1044</v>
      </c>
      <c r="E332" s="86">
        <f>SUM(J320:J329)</f>
        <v>1.4400000000000001E-2</v>
      </c>
      <c r="F332" s="95" t="str">
        <f>$E$170</f>
        <v>t CO2e</v>
      </c>
    </row>
    <row r="335" spans="3:41" ht="20.100000000000001" customHeight="1" x14ac:dyDescent="0.2">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row>
    <row r="336" spans="3:41" ht="20.100000000000001" customHeight="1" x14ac:dyDescent="0.2">
      <c r="D336" s="2" t="str" cm="1">
        <f t="array" ref="D336">Scope3_Equations.VEERG_15_7_1_1__1_EmissionsFromPurchasedServices_Title()</f>
        <v>Emissions of purchased services and contractor operations</v>
      </c>
    </row>
    <row r="337" spans="1:15" ht="20.100000000000001" customHeight="1" x14ac:dyDescent="0.2">
      <c r="D337" s="17" t="str" cm="1">
        <f t="array" ref="D337">Scope3_Equations.VEERG_15_7_1_1__1_EmissionsFromPurchasedServices_Source()</f>
        <v>VEERG 2026: 15.7.1.1, Equation (1)</v>
      </c>
    </row>
    <row r="338" spans="1:15" ht="20.100000000000001" customHeight="1" x14ac:dyDescent="0.2">
      <c r="A338" s="79" t="str">
        <f>HYPERLINK("#A1", "▲ Back to top")</f>
        <v>▲ Back to top</v>
      </c>
      <c r="D338" s="112" t="s">
        <v>328</v>
      </c>
      <c r="E338" s="112" t="str" cm="1">
        <f t="array" aca="1" ref="E338" ca="1">Common_InputFunctions.Utility_DisplayFunctionName(K351)</f>
        <v>=Scope3_Equations.VEERG_15_7_1_1__1_EmissionsFromPurchasedServices</v>
      </c>
    </row>
    <row r="340" spans="1:15" ht="20.100000000000001" customHeight="1" x14ac:dyDescent="0.2">
      <c r="H340" s="1" t="s">
        <v>1122</v>
      </c>
    </row>
    <row r="341" spans="1:15" ht="20.100000000000001" customHeight="1" x14ac:dyDescent="0.2">
      <c r="D341" s="75" t="s">
        <v>329</v>
      </c>
      <c r="E341" s="1" t="str" cm="1">
        <f t="array" ref="E341">Scope3_Equations.VEERG_15_7_1_1__1_EmissionsFromPurchasedServices_Variable()</f>
        <v>E</v>
      </c>
    </row>
    <row r="342" spans="1:15" ht="20.100000000000001" customHeight="1" x14ac:dyDescent="0.2">
      <c r="D342" s="75" t="s">
        <v>118</v>
      </c>
      <c r="E342" s="1" t="str" cm="1">
        <f t="array" ref="E342">Scope3_Equations.VEERG_15_7_1_1__1_EmissionsFromPurchasedServices_Unit()</f>
        <v>t CO2e</v>
      </c>
    </row>
    <row r="344" spans="1:15" ht="20.100000000000001" customHeight="1" x14ac:dyDescent="0.2">
      <c r="D344" s="113" t="str" cm="1">
        <f t="array" ref="D344:E346">_xlfn.CHOOSECOLS(Scope3_Equations.VEERG_15_7_1_1__1_EmissionsFromPurchasedServices_Arguments(),1,2)</f>
        <v>A_p</v>
      </c>
      <c r="E344" s="122" t="str">
        <v>activity data of the service that was purchased</v>
      </c>
      <c r="F344" s="123"/>
      <c r="G344" s="113" t="str" cm="1">
        <f t="array" ref="G344:H346">_xlfn.CHOOSECOLS(Scope3_Equations.VEERG_15_7_1_1__1_EmissionsFromPurchasedServices_Arguments(),3,4)</f>
        <v>ha or h</v>
      </c>
      <c r="H344" s="249" t="str">
        <v>Input</v>
      </c>
    </row>
    <row r="345" spans="1:15" ht="20.100000000000001" customHeight="1" x14ac:dyDescent="0.2">
      <c r="D345" s="113" t="str">
        <v>EF_p</v>
      </c>
      <c r="E345" s="122" t="str">
        <v>life cycle emission factor for the purchased service</v>
      </c>
      <c r="F345" s="123"/>
      <c r="G345" s="113" t="str">
        <v>kg CO2e/ha or kg CO2e/h</v>
      </c>
      <c r="H345" s="115" t="str">
        <v>Constant</v>
      </c>
    </row>
    <row r="346" spans="1:15" ht="20.100000000000001" customHeight="1" x14ac:dyDescent="0.2">
      <c r="D346" s="113" t="str">
        <v>p</v>
      </c>
      <c r="E346" s="122" t="str">
        <v>service type</v>
      </c>
      <c r="F346" s="123"/>
      <c r="G346" s="113" t="str">
        <v/>
      </c>
      <c r="H346" s="249" t="str">
        <v>Input</v>
      </c>
    </row>
    <row r="348" spans="1:15" ht="20.100000000000001" customHeight="1" x14ac:dyDescent="0.2">
      <c r="D348" s="25" t="s">
        <v>1123</v>
      </c>
    </row>
    <row r="350" spans="1:15" ht="20.100000000000001" customHeight="1" x14ac:dyDescent="0.2">
      <c r="D350" s="78" t="s">
        <v>962</v>
      </c>
      <c r="E350" s="78" t="s">
        <v>963</v>
      </c>
      <c r="F350" s="78" t="s">
        <v>964</v>
      </c>
      <c r="G350" s="78" t="s">
        <v>595</v>
      </c>
      <c r="H350" s="120" t="s">
        <v>1124</v>
      </c>
      <c r="I350" s="120" t="s">
        <v>1125</v>
      </c>
      <c r="J350" s="78" t="s">
        <v>1126</v>
      </c>
      <c r="K350" s="120" t="s">
        <v>1127</v>
      </c>
      <c r="L350" s="120" t="s">
        <v>1128</v>
      </c>
      <c r="M350" s="78" t="s">
        <v>1045</v>
      </c>
      <c r="N350" s="78" t="s">
        <v>1046</v>
      </c>
      <c r="O350" s="78" t="s">
        <v>1047</v>
      </c>
    </row>
    <row r="351" spans="1: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352</v>
      </c>
      <c r="I351" s="15" t="s">
        <v>352</v>
      </c>
      <c r="J351" s="74">
        <v>0.1</v>
      </c>
      <c r="K351" s="251" cm="1">
        <f t="array" ref="K351">Scope3_Equations.VEERG_15_7_1_1__1_EmissionsFromPurchasedServices(F351,J351)</f>
        <v>1</v>
      </c>
      <c r="L351" s="15" t="str">
        <f>"t CO2e / " &amp; G351</f>
        <v>t CO2e / Hour</v>
      </c>
      <c r="M351" s="33"/>
      <c r="N351" s="13"/>
      <c r="O351" s="33"/>
    </row>
    <row r="352" spans="1:15" ht="20.100000000000001" customHeight="1" x14ac:dyDescent="0.2">
      <c r="D352" s="15" t="str">
        <v>Harini's Harvesting Services Pty Ltd</v>
      </c>
      <c r="E352" s="15" t="str">
        <v>Wheat harvesting</v>
      </c>
      <c r="F352" s="15">
        <v>1000</v>
      </c>
      <c r="G352" s="15" t="str">
        <v>Hectare</v>
      </c>
      <c r="H352" s="15" t="s">
        <v>352</v>
      </c>
      <c r="I352" s="15" t="s">
        <v>352</v>
      </c>
      <c r="J352" s="74">
        <v>0.1</v>
      </c>
      <c r="K352" s="251" cm="1">
        <f t="array" ref="K352">Scope3_Equations.VEERG_15_7_1_1__1_EmissionsFromPurchasedServices(F352,J352)</f>
        <v>0.1</v>
      </c>
      <c r="L352" s="15" t="str">
        <f t="shared" ref="L352:L360" si="1">"t CO2e / " &amp; G352</f>
        <v>t CO2e / Hectare</v>
      </c>
      <c r="M352" s="33"/>
      <c r="N352" s="13"/>
      <c r="O352" s="33"/>
    </row>
    <row r="353" spans="1:41" ht="20.100000000000001" customHeight="1" x14ac:dyDescent="0.2">
      <c r="D353" s="15">
        <v>0</v>
      </c>
      <c r="E353" s="15">
        <v>0</v>
      </c>
      <c r="F353" s="15">
        <v>0</v>
      </c>
      <c r="G353" s="15">
        <v>0</v>
      </c>
      <c r="H353" s="15" t="s">
        <v>352</v>
      </c>
      <c r="I353" s="15" t="s">
        <v>352</v>
      </c>
      <c r="J353" s="74"/>
      <c r="K353" s="251" cm="1">
        <f t="array" ref="K353">Scope3_Equations.VEERG_15_7_1_1__1_EmissionsFromPurchasedServices(F353,J353)</f>
        <v>0</v>
      </c>
      <c r="L353" s="15" t="str">
        <f t="shared" si="1"/>
        <v>t CO2e / 0</v>
      </c>
      <c r="M353" s="33"/>
      <c r="N353" s="13"/>
      <c r="O353" s="33"/>
    </row>
    <row r="354" spans="1:41" ht="20.100000000000001" customHeight="1" x14ac:dyDescent="0.2">
      <c r="D354" s="15">
        <v>0</v>
      </c>
      <c r="E354" s="15">
        <v>0</v>
      </c>
      <c r="F354" s="15">
        <v>0</v>
      </c>
      <c r="G354" s="15">
        <v>0</v>
      </c>
      <c r="H354" s="15" t="s">
        <v>352</v>
      </c>
      <c r="I354" s="15" t="s">
        <v>352</v>
      </c>
      <c r="J354" s="74"/>
      <c r="K354" s="251" cm="1">
        <f t="array" ref="K354">Scope3_Equations.VEERG_15_7_1_1__1_EmissionsFromPurchasedServices(F354,J354)</f>
        <v>0</v>
      </c>
      <c r="L354" s="15" t="str">
        <f t="shared" si="1"/>
        <v>t CO2e / 0</v>
      </c>
      <c r="M354" s="33"/>
      <c r="N354" s="13"/>
      <c r="O354" s="33"/>
    </row>
    <row r="355" spans="1:41" ht="20.100000000000001" customHeight="1" x14ac:dyDescent="0.2">
      <c r="D355" s="15">
        <v>0</v>
      </c>
      <c r="E355" s="15">
        <v>0</v>
      </c>
      <c r="F355" s="15">
        <v>0</v>
      </c>
      <c r="G355" s="15">
        <v>0</v>
      </c>
      <c r="H355" s="15" t="s">
        <v>352</v>
      </c>
      <c r="I355" s="15" t="s">
        <v>352</v>
      </c>
      <c r="J355" s="74"/>
      <c r="K355" s="251" cm="1">
        <f t="array" ref="K355">Scope3_Equations.VEERG_15_7_1_1__1_EmissionsFromPurchasedServices(F355,J355)</f>
        <v>0</v>
      </c>
      <c r="L355" s="15" t="str">
        <f t="shared" si="1"/>
        <v>t CO2e / 0</v>
      </c>
      <c r="M355" s="33"/>
      <c r="N355" s="13"/>
      <c r="O355" s="33"/>
    </row>
    <row r="356" spans="1:41" ht="20.100000000000001" customHeight="1" x14ac:dyDescent="0.2">
      <c r="D356" s="15">
        <v>0</v>
      </c>
      <c r="E356" s="15">
        <v>0</v>
      </c>
      <c r="F356" s="15">
        <v>0</v>
      </c>
      <c r="G356" s="15">
        <v>0</v>
      </c>
      <c r="H356" s="15" t="s">
        <v>352</v>
      </c>
      <c r="I356" s="15" t="s">
        <v>352</v>
      </c>
      <c r="J356" s="74"/>
      <c r="K356" s="251" cm="1">
        <f t="array" ref="K356">Scope3_Equations.VEERG_15_7_1_1__1_EmissionsFromPurchasedServices(F356,J356)</f>
        <v>0</v>
      </c>
      <c r="L356" s="15" t="str">
        <f t="shared" si="1"/>
        <v>t CO2e / 0</v>
      </c>
      <c r="M356" s="33"/>
      <c r="N356" s="13"/>
      <c r="O356" s="33"/>
    </row>
    <row r="357" spans="1:41" ht="20.100000000000001" customHeight="1" x14ac:dyDescent="0.2">
      <c r="D357" s="15">
        <v>0</v>
      </c>
      <c r="E357" s="15">
        <v>0</v>
      </c>
      <c r="F357" s="15">
        <v>0</v>
      </c>
      <c r="G357" s="15">
        <v>0</v>
      </c>
      <c r="H357" s="15" t="s">
        <v>352</v>
      </c>
      <c r="I357" s="15" t="s">
        <v>352</v>
      </c>
      <c r="J357" s="74"/>
      <c r="K357" s="251" cm="1">
        <f t="array" ref="K357">Scope3_Equations.VEERG_15_7_1_1__1_EmissionsFromPurchasedServices(F357,J357)</f>
        <v>0</v>
      </c>
      <c r="L357" s="15" t="str">
        <f t="shared" si="1"/>
        <v>t CO2e / 0</v>
      </c>
      <c r="M357" s="33"/>
      <c r="N357" s="13"/>
      <c r="O357" s="33"/>
    </row>
    <row r="358" spans="1:41" ht="20.100000000000001" customHeight="1" x14ac:dyDescent="0.2">
      <c r="D358" s="15">
        <v>0</v>
      </c>
      <c r="E358" s="15">
        <v>0</v>
      </c>
      <c r="F358" s="15">
        <v>0</v>
      </c>
      <c r="G358" s="15">
        <v>0</v>
      </c>
      <c r="H358" s="15" t="s">
        <v>352</v>
      </c>
      <c r="I358" s="15" t="s">
        <v>352</v>
      </c>
      <c r="J358" s="74"/>
      <c r="K358" s="251" cm="1">
        <f t="array" ref="K358">Scope3_Equations.VEERG_15_7_1_1__1_EmissionsFromPurchasedServices(F358,J358)</f>
        <v>0</v>
      </c>
      <c r="L358" s="15" t="str">
        <f t="shared" si="1"/>
        <v>t CO2e / 0</v>
      </c>
      <c r="M358" s="33"/>
      <c r="N358" s="13"/>
      <c r="O358" s="33"/>
    </row>
    <row r="359" spans="1:41" ht="20.100000000000001" customHeight="1" x14ac:dyDescent="0.2">
      <c r="D359" s="15">
        <v>0</v>
      </c>
      <c r="E359" s="15">
        <v>0</v>
      </c>
      <c r="F359" s="15">
        <v>0</v>
      </c>
      <c r="G359" s="15">
        <v>0</v>
      </c>
      <c r="H359" s="15" t="s">
        <v>352</v>
      </c>
      <c r="I359" s="15" t="s">
        <v>352</v>
      </c>
      <c r="J359" s="74"/>
      <c r="K359" s="251" cm="1">
        <f t="array" ref="K359">Scope3_Equations.VEERG_15_7_1_1__1_EmissionsFromPurchasedServices(F359,J359)</f>
        <v>0</v>
      </c>
      <c r="L359" s="15" t="str">
        <f t="shared" si="1"/>
        <v>t CO2e / 0</v>
      </c>
      <c r="M359" s="33"/>
      <c r="N359" s="13"/>
      <c r="O359" s="33"/>
    </row>
    <row r="360" spans="1:41" ht="20.100000000000001" customHeight="1" x14ac:dyDescent="0.2">
      <c r="D360" s="15">
        <v>0</v>
      </c>
      <c r="E360" s="15">
        <v>0</v>
      </c>
      <c r="F360" s="15">
        <v>0</v>
      </c>
      <c r="G360" s="15">
        <v>0</v>
      </c>
      <c r="H360" s="15" t="s">
        <v>352</v>
      </c>
      <c r="I360" s="15" t="s">
        <v>352</v>
      </c>
      <c r="J360" s="74"/>
      <c r="K360" s="251" cm="1">
        <f t="array" ref="K360">Scope3_Equations.VEERG_15_7_1_1__1_EmissionsFromPurchasedServices(F360,J360)</f>
        <v>0</v>
      </c>
      <c r="L360" s="15" t="str">
        <f t="shared" si="1"/>
        <v>t CO2e / 0</v>
      </c>
      <c r="M360" s="33"/>
      <c r="N360" s="13"/>
      <c r="O360" s="33"/>
    </row>
    <row r="362" spans="1:41" ht="20.100000000000001" customHeight="1" x14ac:dyDescent="0.2">
      <c r="D362" s="253" t="s">
        <v>1041</v>
      </c>
      <c r="E362" s="86" t="s">
        <v>352</v>
      </c>
      <c r="F362" s="95" t="str">
        <f>$E$170</f>
        <v>t CO2e</v>
      </c>
    </row>
    <row r="363" spans="1:41" ht="20.100000000000001" customHeight="1" x14ac:dyDescent="0.2">
      <c r="D363" s="253" t="s">
        <v>1044</v>
      </c>
      <c r="E363" s="86">
        <f>SUM(K351:K360)</f>
        <v>1.1000000000000001</v>
      </c>
      <c r="F363" s="95" t="str">
        <f>$E$170</f>
        <v>t CO2e</v>
      </c>
    </row>
    <row r="366" spans="1:41" ht="20.100000000000001" customHeight="1" x14ac:dyDescent="0.2">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row>
    <row r="367" spans="1:41" ht="20.100000000000001" customHeight="1" x14ac:dyDescent="0.2">
      <c r="D367" s="2" t="str" cm="1">
        <f t="array" ref="D367">Scope3_Equations.VEERG_15_8_1_1__1_EmissionsFromPurchasedPackaging_Title()</f>
        <v>Embedded emissions from use of packaging materials</v>
      </c>
    </row>
    <row r="368" spans="1:41" ht="20.100000000000001" customHeight="1" x14ac:dyDescent="0.2">
      <c r="A368" s="79" t="str">
        <f>HYPERLINK("#A1", "▲ Back to top")</f>
        <v>▲ Back to top</v>
      </c>
      <c r="D368" s="17" t="str" cm="1">
        <f t="array" ref="D368">Scope3_Equations.VEERG_15_8_1_1__1_EmissionsFromPurchasedPackaging_Source()</f>
        <v>VEERG 2026: 15.8.1.1, Equation (1)</v>
      </c>
    </row>
    <row r="369" spans="4:13" ht="20.100000000000001" customHeight="1" x14ac:dyDescent="0.2">
      <c r="D369" s="25" t="str" cm="1">
        <f t="array" ref="D369">Scope3_Equations.VEERG_15_8_1_1__1_EmissionsFromPurchasedPackaging_Variation()</f>
        <v>VARIATION ON SOURCE: Changed unit of Q from 'units' to 'kg' as EF data is in kg.</v>
      </c>
    </row>
    <row r="370" spans="4:13" ht="20.100000000000001" customHeight="1" x14ac:dyDescent="0.2">
      <c r="D370" s="112" t="s">
        <v>328</v>
      </c>
      <c r="E370" s="112" t="str" cm="1">
        <f t="array" aca="1" ref="E370" ca="1">Common_InputFunctions.Utility_DisplayFunctionName(H382)</f>
        <v>=Scope3_Equations.VEERG_15_8_1_1__1_EmissionsFromPurchasedPackaging</v>
      </c>
    </row>
    <row r="374" spans="4:13" ht="20.100000000000001" customHeight="1" x14ac:dyDescent="0.2">
      <c r="D374" s="75" t="s">
        <v>329</v>
      </c>
      <c r="E374" s="1" t="str" cm="1">
        <f t="array" ref="E374">Scope3_Equations.VEERG_15_8_1_1__1_EmissionsFromPurchasedPackaging_Variable()</f>
        <v>E</v>
      </c>
    </row>
    <row r="375" spans="4:13" ht="20.100000000000001" customHeight="1" x14ac:dyDescent="0.2">
      <c r="D375" s="75" t="s">
        <v>118</v>
      </c>
      <c r="E375" s="9" t="str" cm="1">
        <f t="array" ref="E375">Scope3_Equations.VEERG_15_8_1_1__1_EmissionsFromPurchasedPackaging_Unit()</f>
        <v>t CO2e</v>
      </c>
    </row>
    <row r="377" spans="4:13" ht="20.100000000000001" customHeight="1" x14ac:dyDescent="0.2">
      <c r="D377" s="113" t="str" cm="1">
        <f t="array" ref="D377:E379">_xlfn.CHOOSECOLS(Scope3_Equations.VEERG_15_8_1_1__1_EmissionsFromPurchasedPackaging_Arguments(),1,2)</f>
        <v>Q_p</v>
      </c>
      <c r="E377" s="113" t="str">
        <v>units of packaging type p</v>
      </c>
      <c r="F377" s="113" t="str" cm="1">
        <f t="array" ref="F377:G379">_xlfn.CHOOSECOLS(Scope3_Equations.VEERG_15_8_1_1__1_EmissionsFromPurchasedPackaging_Arguments(),3,4)</f>
        <v>units</v>
      </c>
      <c r="G377" s="249" t="str">
        <v>Input</v>
      </c>
    </row>
    <row r="378" spans="4:13" ht="20.100000000000001" customHeight="1" x14ac:dyDescent="0.2">
      <c r="D378" s="113" t="str">
        <v>EF_p</v>
      </c>
      <c r="E378" s="113" t="str">
        <v>emission factor for packaging type p</v>
      </c>
      <c r="F378" s="113" t="str">
        <v>kg CO2e/unit</v>
      </c>
      <c r="G378" s="115" t="str">
        <v>Constant</v>
      </c>
    </row>
    <row r="379" spans="4:13" ht="20.100000000000001" customHeight="1" x14ac:dyDescent="0.2">
      <c r="D379" s="113" t="str">
        <v>p</v>
      </c>
      <c r="E379" s="113" t="str">
        <v>packaging type</v>
      </c>
      <c r="F379" s="113" t="str">
        <v/>
      </c>
      <c r="G379" s="249" t="str">
        <v>Input</v>
      </c>
    </row>
    <row r="381" spans="4:13" ht="20.100000000000001" customHeight="1" x14ac:dyDescent="0.2">
      <c r="D381" s="78" t="s">
        <v>1035</v>
      </c>
      <c r="E381" s="250" t="s">
        <v>1129</v>
      </c>
      <c r="F381" s="250" t="s">
        <v>1130</v>
      </c>
      <c r="G381" s="120" t="s">
        <v>1131</v>
      </c>
      <c r="H381" s="120" t="s">
        <v>1041</v>
      </c>
      <c r="I381" s="78" t="s">
        <v>1132</v>
      </c>
      <c r="J381" s="120" t="s">
        <v>1044</v>
      </c>
      <c r="K381" s="78" t="s">
        <v>1045</v>
      </c>
      <c r="L381" s="78" t="s">
        <v>1046</v>
      </c>
      <c r="M381" s="78" t="s">
        <v>1047</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51" cm="1">
        <f t="array" ref="H382">Scope3_Equations.VEERG_15_8_1_1__1_EmissionsFromPurchasedPackaging(F382,G382)</f>
        <v>0</v>
      </c>
      <c r="I382" s="74">
        <v>3</v>
      </c>
      <c r="J382" s="251" cm="1">
        <f t="array" ref="J382">Scope3_Equations.VEERG_15_8_1_1__1_EmissionsFromPurchasedPackaging(F382,IF(I382,I382,G382))</f>
        <v>0</v>
      </c>
      <c r="K382" s="33"/>
      <c r="L382" s="13"/>
      <c r="M382" s="33"/>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51" cm="1">
        <f t="array" ref="H383">Scope3_Equations.VEERG_15_8_1_1__1_EmissionsFromPurchasedPackaging(F383,G383)</f>
        <v>0</v>
      </c>
      <c r="I383" s="74"/>
      <c r="J383" s="251" cm="1">
        <f t="array" ref="J383">Scope3_Equations.VEERG_15_8_1_1__1_EmissionsFromPurchasedPackaging(F383,IF(I383,I383,G383))</f>
        <v>0</v>
      </c>
      <c r="K383" s="33"/>
      <c r="L383" s="13"/>
      <c r="M383" s="33"/>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51" cm="1">
        <f t="array" ref="H384">Scope3_Equations.VEERG_15_8_1_1__1_EmissionsFromPurchasedPackaging(F384,G384)</f>
        <v>0</v>
      </c>
      <c r="I384" s="74"/>
      <c r="J384" s="251" cm="1">
        <f t="array" ref="J384">Scope3_Equations.VEERG_15_8_1_1__1_EmissionsFromPurchasedPackaging(F384,IF(I384,I384,G384))</f>
        <v>0</v>
      </c>
      <c r="K384" s="33"/>
      <c r="L384" s="13"/>
      <c r="M384" s="33"/>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51" cm="1">
        <f t="array" ref="H385">Scope3_Equations.VEERG_15_8_1_1__1_EmissionsFromPurchasedPackaging(F385,G385)</f>
        <v>0</v>
      </c>
      <c r="I385" s="74"/>
      <c r="J385" s="251" cm="1">
        <f t="array" ref="J385">Scope3_Equations.VEERG_15_8_1_1__1_EmissionsFromPurchasedPackaging(F385,IF(I385,I385,G385))</f>
        <v>0</v>
      </c>
      <c r="K385" s="33"/>
      <c r="L385" s="13"/>
      <c r="M385" s="33"/>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51" cm="1">
        <f t="array" ref="H386">Scope3_Equations.VEERG_15_8_1_1__1_EmissionsFromPurchasedPackaging(F386,G386)</f>
        <v>0</v>
      </c>
      <c r="I386" s="74"/>
      <c r="J386" s="251" cm="1">
        <f t="array" ref="J386">Scope3_Equations.VEERG_15_8_1_1__1_EmissionsFromPurchasedPackaging(F386,IF(I386,I386,G386))</f>
        <v>0</v>
      </c>
      <c r="K386" s="33"/>
      <c r="L386" s="13"/>
      <c r="M386" s="33"/>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51" cm="1">
        <f t="array" ref="H387">Scope3_Equations.VEERG_15_8_1_1__1_EmissionsFromPurchasedPackaging(F387,G387)</f>
        <v>0</v>
      </c>
      <c r="I387" s="74"/>
      <c r="J387" s="251" cm="1">
        <f t="array" ref="J387">Scope3_Equations.VEERG_15_8_1_1__1_EmissionsFromPurchasedPackaging(F387,IF(I387,I387,G387))</f>
        <v>0</v>
      </c>
      <c r="K387" s="33"/>
      <c r="L387" s="13"/>
      <c r="M387" s="33"/>
    </row>
    <row r="388" spans="1: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51" cm="1">
        <f t="array" ref="H388">Scope3_Equations.VEERG_15_8_1_1__1_EmissionsFromPurchasedPackaging(F388,G388)</f>
        <v>0</v>
      </c>
      <c r="I388" s="74"/>
      <c r="J388" s="251" cm="1">
        <f t="array" ref="J388">Scope3_Equations.VEERG_15_8_1_1__1_EmissionsFromPurchasedPackaging(F388,IF(I388,I388,G388))</f>
        <v>0</v>
      </c>
      <c r="K388" s="33"/>
      <c r="L388" s="13"/>
      <c r="M388" s="33"/>
    </row>
    <row r="389" spans="1: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51" cm="1">
        <f t="array" ref="H389">Scope3_Equations.VEERG_15_8_1_1__1_EmissionsFromPurchasedPackaging(F389,G389)</f>
        <v>0</v>
      </c>
      <c r="I389" s="74"/>
      <c r="J389" s="251" cm="1">
        <f t="array" ref="J389">Scope3_Equations.VEERG_15_8_1_1__1_EmissionsFromPurchasedPackaging(F389,IF(I389,I389,G389))</f>
        <v>0</v>
      </c>
      <c r="K389" s="33"/>
      <c r="L389" s="13"/>
      <c r="M389" s="33"/>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51" cm="1">
        <f t="array" ref="H390">Scope3_Equations.VEERG_15_8_1_1__1_EmissionsFromPurchasedPackaging(F390,G390)</f>
        <v>0</v>
      </c>
      <c r="I390" s="74"/>
      <c r="J390" s="251" cm="1">
        <f t="array" ref="J390">Scope3_Equations.VEERG_15_8_1_1__1_EmissionsFromPurchasedPackaging(F390,IF(I390,I390,G390))</f>
        <v>0</v>
      </c>
      <c r="K390" s="33"/>
      <c r="L390" s="13"/>
      <c r="M390" s="33"/>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51" cm="1">
        <f t="array" ref="H391">Scope3_Equations.VEERG_15_8_1_1__1_EmissionsFromPurchasedPackaging(F391,G391)</f>
        <v>0</v>
      </c>
      <c r="I391" s="74"/>
      <c r="J391" s="251" cm="1">
        <f t="array" ref="J391">Scope3_Equations.VEERG_15_8_1_1__1_EmissionsFromPurchasedPackaging(F391,IF(I391,I391,G391))</f>
        <v>0</v>
      </c>
      <c r="K391" s="33"/>
      <c r="L391" s="13"/>
      <c r="M391" s="33"/>
    </row>
    <row r="393" spans="1:41" ht="20.100000000000001" customHeight="1" x14ac:dyDescent="0.2">
      <c r="D393" s="253" t="s">
        <v>1041</v>
      </c>
      <c r="E393" s="86">
        <f>SUM(H382:H391)</f>
        <v>0</v>
      </c>
      <c r="F393" s="95" t="str">
        <f>$E$170</f>
        <v>t CO2e</v>
      </c>
    </row>
    <row r="394" spans="1:41" ht="20.100000000000001" customHeight="1" x14ac:dyDescent="0.2">
      <c r="D394" s="253" t="s">
        <v>1044</v>
      </c>
      <c r="E394" s="86">
        <f>SUM(J382:J391)</f>
        <v>0</v>
      </c>
      <c r="F394" s="95" t="str">
        <f>$E$170</f>
        <v>t CO2e</v>
      </c>
    </row>
    <row r="397" spans="1:41" ht="20.100000000000001" customHeight="1" x14ac:dyDescent="0.2">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row>
    <row r="398" spans="1:41" ht="20.100000000000001" customHeight="1" x14ac:dyDescent="0.2">
      <c r="A398" s="79" t="str">
        <f>HYPERLINK("#A1", "▲ Back to top")</f>
        <v>▲ Back to top</v>
      </c>
      <c r="D398" s="2" t="str" cm="1">
        <f t="array" ref="D398">Scope3_Equations.VEERG_15_9_1_1__1_EmissionsFromPurchasedGrowMedia_Title()</f>
        <v>Embedded emissions from use of grow media products</v>
      </c>
    </row>
    <row r="399" spans="1:41" ht="20.100000000000001" customHeight="1" x14ac:dyDescent="0.2">
      <c r="D399" s="17" t="str" cm="1">
        <f t="array" ref="D399">Scope3_Equations.VEERG_15_9_1_1__1_EmissionsFromPurchasedGrowMedia_Source()</f>
        <v>VEERG 2026: 15.9.1.1, Equation (1)</v>
      </c>
    </row>
    <row r="400" spans="1:41" ht="20.100000000000001" customHeight="1" x14ac:dyDescent="0.2">
      <c r="D400" s="112" t="s">
        <v>328</v>
      </c>
      <c r="E400" s="112" t="str" cm="1">
        <f t="array" aca="1" ref="E400" ca="1">Common_InputFunctions.Utility_DisplayFunctionName(J414)</f>
        <v>=Scope3_Equations.VEERG_15_9_1_1__1_EmissionsFromPurchasedGrowMedia</v>
      </c>
    </row>
    <row r="403" spans="4:14" ht="20.100000000000001" customHeight="1" x14ac:dyDescent="0.2">
      <c r="G403" s="112"/>
    </row>
    <row r="404" spans="4:14" ht="20.100000000000001" customHeight="1" x14ac:dyDescent="0.2">
      <c r="D404" s="75" t="s">
        <v>329</v>
      </c>
      <c r="E404" s="1" t="str" cm="1">
        <f t="array" ref="E404">Scope3_Equations.VEERG_15_9_1_1__1_EmissionsFromPurchasedGrowMedia_Variable()</f>
        <v>E</v>
      </c>
    </row>
    <row r="405" spans="4:14" ht="20.100000000000001" customHeight="1" x14ac:dyDescent="0.2">
      <c r="D405" s="75" t="s">
        <v>118</v>
      </c>
      <c r="E405" s="1" t="str" cm="1">
        <f t="array" ref="E405">Scope3_Equations.VEERG_15_9_1_1__1_EmissionsFromPurchasedGrowMedia_Unit()</f>
        <v>t CO2e</v>
      </c>
    </row>
    <row r="407" spans="4:14" ht="20.100000000000001" customHeight="1" x14ac:dyDescent="0.2">
      <c r="D407" s="113" t="str" cm="1">
        <f t="array" ref="D407:E409">_xlfn.CHOOSECOLS(Scope3_Equations.VEERG_15_9_1_1__1_EmissionsFromPurchasedGrowMedia_Arguments(),1,2)</f>
        <v>Q_g</v>
      </c>
      <c r="E407" s="113" t="str">
        <v>total quantity of grow media type g</v>
      </c>
      <c r="F407" s="113" t="str" cm="1">
        <f t="array" ref="F407:G409">_xlfn.CHOOSECOLS(Scope3_Equations.VEERG_15_9_1_1__1_EmissionsFromPurchasedGrowMedia_Arguments(),3,4)</f>
        <v>kg or m3</v>
      </c>
      <c r="G407" s="249" t="str">
        <v>Input</v>
      </c>
    </row>
    <row r="408" spans="4:14" ht="20.100000000000001" customHeight="1" x14ac:dyDescent="0.2">
      <c r="D408" s="113" t="str">
        <v>EF_g</v>
      </c>
      <c r="E408" s="113" t="str">
        <v>emission factor for grow media type g</v>
      </c>
      <c r="F408" s="113" t="str">
        <v>kg CO2e/kg or kg CO2e/m3</v>
      </c>
      <c r="G408" s="115" t="str">
        <v>Constant</v>
      </c>
    </row>
    <row r="409" spans="4:14" ht="20.100000000000001" customHeight="1" x14ac:dyDescent="0.2">
      <c r="D409" s="113" t="str">
        <v>g</v>
      </c>
      <c r="E409" s="113" t="str">
        <v>grow media type</v>
      </c>
      <c r="F409" s="113" t="str">
        <v/>
      </c>
      <c r="G409" s="249" t="str">
        <v>Input</v>
      </c>
    </row>
    <row r="411" spans="4:14" ht="20.100000000000001" customHeight="1" x14ac:dyDescent="0.2">
      <c r="D411" s="25" t="s">
        <v>1123</v>
      </c>
    </row>
    <row r="413" spans="4:14" ht="20.100000000000001" customHeight="1" x14ac:dyDescent="0.2">
      <c r="D413" s="78" t="s">
        <v>1133</v>
      </c>
      <c r="E413" s="78" t="s">
        <v>964</v>
      </c>
      <c r="F413" s="78" t="s">
        <v>595</v>
      </c>
      <c r="G413" s="120" t="s">
        <v>1124</v>
      </c>
      <c r="H413" s="120" t="s">
        <v>1125</v>
      </c>
      <c r="I413" s="78" t="s">
        <v>1126</v>
      </c>
      <c r="J413" s="120" t="s">
        <v>1127</v>
      </c>
      <c r="K413" s="120" t="s">
        <v>1128</v>
      </c>
      <c r="L413" s="78" t="s">
        <v>1045</v>
      </c>
      <c r="M413" s="78" t="s">
        <v>1046</v>
      </c>
      <c r="N413" s="78" t="s">
        <v>1047</v>
      </c>
    </row>
    <row r="414" spans="4:14" ht="20.100000000000001" customHeight="1" x14ac:dyDescent="0.2">
      <c r="D414" s="15"/>
      <c r="E414" s="15"/>
      <c r="F414" s="15"/>
      <c r="G414" s="15" t="s">
        <v>352</v>
      </c>
      <c r="H414" s="15" t="s">
        <v>352</v>
      </c>
      <c r="I414" s="74">
        <v>4</v>
      </c>
      <c r="J414" s="251" cm="1">
        <f t="array" ref="J414">Scope3_Equations.VEERG_15_9_1_1__1_EmissionsFromPurchasedGrowMedia(E414,I414)</f>
        <v>0</v>
      </c>
      <c r="K414" s="15" t="str">
        <f>"t CO2e / " &amp; F414</f>
        <v xml:space="preserve">t CO2e / </v>
      </c>
      <c r="L414" s="33"/>
      <c r="M414" s="13"/>
      <c r="N414" s="33"/>
    </row>
    <row r="415" spans="4:14" ht="20.100000000000001" customHeight="1" x14ac:dyDescent="0.2">
      <c r="D415" s="15"/>
      <c r="E415" s="15"/>
      <c r="F415" s="15"/>
      <c r="G415" s="15" t="s">
        <v>352</v>
      </c>
      <c r="H415" s="15" t="s">
        <v>352</v>
      </c>
      <c r="I415" s="74">
        <v>2</v>
      </c>
      <c r="J415" s="251" cm="1">
        <f t="array" ref="J415">Scope3_Equations.VEERG_15_9_1_1__1_EmissionsFromPurchasedGrowMedia(E415,I415)</f>
        <v>0</v>
      </c>
      <c r="K415" s="15" t="str">
        <f t="shared" ref="K415:K423" si="2">"t CO2e / " &amp; F415</f>
        <v xml:space="preserve">t CO2e / </v>
      </c>
      <c r="L415" s="33"/>
      <c r="M415" s="13"/>
      <c r="N415" s="33"/>
    </row>
    <row r="416" spans="4:14" ht="20.100000000000001" customHeight="1" x14ac:dyDescent="0.2">
      <c r="D416" s="15"/>
      <c r="E416" s="15"/>
      <c r="F416" s="15"/>
      <c r="G416" s="15" t="s">
        <v>352</v>
      </c>
      <c r="H416" s="15" t="s">
        <v>352</v>
      </c>
      <c r="I416" s="74"/>
      <c r="J416" s="251" cm="1">
        <f t="array" ref="J416">Scope3_Equations.VEERG_15_9_1_1__1_EmissionsFromPurchasedGrowMedia(E416,I416)</f>
        <v>0</v>
      </c>
      <c r="K416" s="15" t="str">
        <f t="shared" si="2"/>
        <v xml:space="preserve">t CO2e / </v>
      </c>
      <c r="L416" s="33"/>
      <c r="M416" s="13"/>
      <c r="N416" s="33"/>
    </row>
    <row r="417" spans="1:41" ht="20.100000000000001" customHeight="1" x14ac:dyDescent="0.2">
      <c r="D417" s="15"/>
      <c r="E417" s="15"/>
      <c r="F417" s="15"/>
      <c r="G417" s="15" t="s">
        <v>352</v>
      </c>
      <c r="H417" s="15" t="s">
        <v>352</v>
      </c>
      <c r="I417" s="74"/>
      <c r="J417" s="251" cm="1">
        <f t="array" ref="J417">Scope3_Equations.VEERG_15_9_1_1__1_EmissionsFromPurchasedGrowMedia(E417,I417)</f>
        <v>0</v>
      </c>
      <c r="K417" s="15" t="str">
        <f t="shared" si="2"/>
        <v xml:space="preserve">t CO2e / </v>
      </c>
      <c r="L417" s="33"/>
      <c r="M417" s="13"/>
      <c r="N417" s="33"/>
    </row>
    <row r="418" spans="1:41" ht="20.100000000000001" customHeight="1" x14ac:dyDescent="0.2">
      <c r="D418" s="15"/>
      <c r="E418" s="15"/>
      <c r="F418" s="15"/>
      <c r="G418" s="15" t="s">
        <v>352</v>
      </c>
      <c r="H418" s="15" t="s">
        <v>352</v>
      </c>
      <c r="I418" s="74"/>
      <c r="J418" s="251" cm="1">
        <f t="array" ref="J418">Scope3_Equations.VEERG_15_9_1_1__1_EmissionsFromPurchasedGrowMedia(E418,I418)</f>
        <v>0</v>
      </c>
      <c r="K418" s="15" t="str">
        <f t="shared" si="2"/>
        <v xml:space="preserve">t CO2e / </v>
      </c>
      <c r="L418" s="33"/>
      <c r="M418" s="13"/>
      <c r="N418" s="33"/>
    </row>
    <row r="419" spans="1:41" ht="20.100000000000001" customHeight="1" x14ac:dyDescent="0.2">
      <c r="D419" s="15"/>
      <c r="E419" s="15"/>
      <c r="F419" s="15"/>
      <c r="G419" s="15" t="s">
        <v>352</v>
      </c>
      <c r="H419" s="15" t="s">
        <v>352</v>
      </c>
      <c r="I419" s="74"/>
      <c r="J419" s="251" cm="1">
        <f t="array" ref="J419">Scope3_Equations.VEERG_15_9_1_1__1_EmissionsFromPurchasedGrowMedia(E419,I419)</f>
        <v>0</v>
      </c>
      <c r="K419" s="15" t="str">
        <f t="shared" si="2"/>
        <v xml:space="preserve">t CO2e / </v>
      </c>
      <c r="L419" s="33"/>
      <c r="M419" s="13"/>
      <c r="N419" s="33"/>
    </row>
    <row r="420" spans="1:41" ht="20.100000000000001" customHeight="1" x14ac:dyDescent="0.2">
      <c r="D420" s="15"/>
      <c r="E420" s="15"/>
      <c r="F420" s="15"/>
      <c r="G420" s="15" t="s">
        <v>352</v>
      </c>
      <c r="H420" s="15" t="s">
        <v>352</v>
      </c>
      <c r="I420" s="74"/>
      <c r="J420" s="251" cm="1">
        <f t="array" ref="J420">Scope3_Equations.VEERG_15_9_1_1__1_EmissionsFromPurchasedGrowMedia(E420,I420)</f>
        <v>0</v>
      </c>
      <c r="K420" s="15" t="str">
        <f t="shared" si="2"/>
        <v xml:space="preserve">t CO2e / </v>
      </c>
      <c r="L420" s="33"/>
      <c r="M420" s="13"/>
      <c r="N420" s="33"/>
    </row>
    <row r="421" spans="1:41" ht="20.100000000000001" customHeight="1" x14ac:dyDescent="0.2">
      <c r="D421" s="15"/>
      <c r="E421" s="15"/>
      <c r="F421" s="15"/>
      <c r="G421" s="15" t="s">
        <v>352</v>
      </c>
      <c r="H421" s="15" t="s">
        <v>352</v>
      </c>
      <c r="I421" s="74"/>
      <c r="J421" s="251" cm="1">
        <f t="array" ref="J421">Scope3_Equations.VEERG_15_9_1_1__1_EmissionsFromPurchasedGrowMedia(E421,I421)</f>
        <v>0</v>
      </c>
      <c r="K421" s="15" t="str">
        <f t="shared" si="2"/>
        <v xml:space="preserve">t CO2e / </v>
      </c>
      <c r="L421" s="33"/>
      <c r="M421" s="13"/>
      <c r="N421" s="33"/>
    </row>
    <row r="422" spans="1:41" ht="20.100000000000001" customHeight="1" x14ac:dyDescent="0.2">
      <c r="D422" s="15"/>
      <c r="E422" s="15"/>
      <c r="F422" s="15"/>
      <c r="G422" s="15" t="s">
        <v>352</v>
      </c>
      <c r="H422" s="15" t="s">
        <v>352</v>
      </c>
      <c r="I422" s="74"/>
      <c r="J422" s="251" cm="1">
        <f t="array" ref="J422">Scope3_Equations.VEERG_15_9_1_1__1_EmissionsFromPurchasedGrowMedia(E422,I422)</f>
        <v>0</v>
      </c>
      <c r="K422" s="15" t="str">
        <f t="shared" si="2"/>
        <v xml:space="preserve">t CO2e / </v>
      </c>
      <c r="L422" s="33"/>
      <c r="M422" s="13"/>
      <c r="N422" s="33"/>
    </row>
    <row r="423" spans="1:41" ht="20.100000000000001" customHeight="1" x14ac:dyDescent="0.2">
      <c r="D423" s="15"/>
      <c r="E423" s="15"/>
      <c r="F423" s="15"/>
      <c r="G423" s="15" t="s">
        <v>352</v>
      </c>
      <c r="H423" s="15" t="s">
        <v>352</v>
      </c>
      <c r="I423" s="74"/>
      <c r="J423" s="251" cm="1">
        <f t="array" ref="J423">Scope3_Equations.VEERG_15_9_1_1__1_EmissionsFromPurchasedGrowMedia(E423,I423)</f>
        <v>0</v>
      </c>
      <c r="K423" s="15" t="str">
        <f t="shared" si="2"/>
        <v xml:space="preserve">t CO2e / </v>
      </c>
      <c r="L423" s="33"/>
      <c r="M423" s="13"/>
      <c r="N423" s="33"/>
    </row>
    <row r="425" spans="1:41" ht="20.100000000000001" customHeight="1" x14ac:dyDescent="0.2">
      <c r="D425" s="253" t="s">
        <v>1041</v>
      </c>
      <c r="E425" s="86" t="s">
        <v>352</v>
      </c>
      <c r="F425" s="95" t="str">
        <f>$E$170</f>
        <v>t CO2e</v>
      </c>
    </row>
    <row r="426" spans="1:41" ht="20.100000000000001" customHeight="1" x14ac:dyDescent="0.2">
      <c r="D426" s="253" t="s">
        <v>1044</v>
      </c>
      <c r="E426" s="86">
        <f>SUM(J414:J423)</f>
        <v>0</v>
      </c>
      <c r="F426" s="95" t="str">
        <f>$E$170</f>
        <v>t CO2e</v>
      </c>
    </row>
    <row r="428" spans="1:41" ht="20.100000000000001" customHeight="1" x14ac:dyDescent="0.2">
      <c r="A428" s="79" t="str">
        <f>HYPERLINK("#A1", "▲ Back to top")</f>
        <v>▲ Back to top</v>
      </c>
    </row>
    <row r="429" spans="1:41" ht="20.100000000000001" customHeight="1" x14ac:dyDescent="0.2">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row>
    <row r="430" spans="1:41" ht="20.100000000000001" customHeight="1" x14ac:dyDescent="0.2">
      <c r="D430" s="2" t="str" cm="1">
        <f t="array" ref="D430">Scope3_Equations.VEERG_15_10_1_1__1_OtherPurchasedGoodsAndServices_Title()</f>
        <v>Other purchased goods and services generic estimate</v>
      </c>
    </row>
    <row r="431" spans="1:41" ht="20.100000000000001" customHeight="1" x14ac:dyDescent="0.2">
      <c r="D431" s="17" t="str" cm="1">
        <f t="array" ref="D431">Scope3_Equations.VEERG_15_10_1_1__1_OtherPurchasedGoodsAndServices_Source()</f>
        <v>VEERG 2026: 15.10, generic placeholder equation</v>
      </c>
    </row>
    <row r="432" spans="1:41" ht="20.100000000000001" customHeight="1" x14ac:dyDescent="0.2">
      <c r="D432" s="25" t="s">
        <v>1134</v>
      </c>
    </row>
    <row r="433" spans="4:13" ht="20.100000000000001" customHeight="1" x14ac:dyDescent="0.2">
      <c r="D433" s="112" t="s">
        <v>328</v>
      </c>
      <c r="E433" s="112" t="str" cm="1">
        <f t="array" aca="1" ref="E433" ca="1">Common_InputFunctions.Utility_DisplayFunctionName(H445)</f>
        <v>=Scope3_Equations.VEERG_15_10_1_1__1_OtherPurchasedGoodsAndServices</v>
      </c>
    </row>
    <row r="436" spans="4:13" ht="20.100000000000001" customHeight="1" x14ac:dyDescent="0.2">
      <c r="D436" s="75" t="s">
        <v>329</v>
      </c>
      <c r="E436" s="1" t="str" cm="1">
        <f t="array" ref="E436">Scope3_Equations.VEERG_15_10_1_1__1_OtherPurchasedGoodsAndServices_Variable()</f>
        <v>emissions</v>
      </c>
    </row>
    <row r="437" spans="4:13" ht="20.100000000000001" customHeight="1" x14ac:dyDescent="0.2">
      <c r="D437" s="75" t="s">
        <v>118</v>
      </c>
      <c r="E437" s="9" t="str" cm="1">
        <f t="array" ref="E437">Scope3_Equations.VEERG_15_10_1_1__1_OtherPurchasedGoodsAndServices_Unit()</f>
        <v>t CO2e</v>
      </c>
    </row>
    <row r="439" spans="4:13" ht="20.100000000000001" customHeight="1" x14ac:dyDescent="0.2">
      <c r="D439" s="113" t="str" cm="1">
        <f t="array" ref="D439:E440">_xlfn.CHOOSECOLS(Scope3_Equations.VEERG_15_10_1_1__1_OtherPurchasedGoodsAndServices_Arguments(),1,2)</f>
        <v>activity_data</v>
      </c>
      <c r="E439" s="122" t="str">
        <v>measured activity for the purchased good or service</v>
      </c>
      <c r="F439" s="123"/>
      <c r="G439" s="113" t="str" cm="1">
        <f t="array" ref="G439:H440">_xlfn.CHOOSECOLS(Scope3_Equations.VEERG_15_10_1_1__1_OtherPurchasedGoodsAndServices_Arguments(),3,4)</f>
        <v>varies</v>
      </c>
      <c r="H439" s="249" t="str">
        <v>Input</v>
      </c>
    </row>
    <row r="440" spans="4:13" ht="20.100000000000001" customHeight="1" x14ac:dyDescent="0.2">
      <c r="D440" s="113" t="str">
        <v>emission_factor</v>
      </c>
      <c r="E440" s="122" t="str">
        <v>lifecycle emissions per unit of activity</v>
      </c>
      <c r="F440" s="123"/>
      <c r="G440" s="113" t="str">
        <v>varies</v>
      </c>
      <c r="H440" s="115" t="str">
        <v>Constant</v>
      </c>
    </row>
    <row r="442" spans="4:13" ht="20.100000000000001" customHeight="1" x14ac:dyDescent="0.2">
      <c r="D442" s="244" t="s">
        <v>1135</v>
      </c>
    </row>
    <row r="444" spans="4:13" ht="20.100000000000001" customHeight="1" x14ac:dyDescent="0.2">
      <c r="D444" s="78" t="s">
        <v>1035</v>
      </c>
      <c r="E444" s="250" t="s">
        <v>1136</v>
      </c>
      <c r="F444" s="250" t="s">
        <v>1137</v>
      </c>
      <c r="G444" s="120" t="s">
        <v>119</v>
      </c>
      <c r="H444" s="120" t="s">
        <v>1041</v>
      </c>
      <c r="I444" s="78" t="s">
        <v>120</v>
      </c>
      <c r="J444" s="120" t="s">
        <v>1044</v>
      </c>
      <c r="K444" s="78" t="s">
        <v>1045</v>
      </c>
      <c r="L444" s="78" t="s">
        <v>1046</v>
      </c>
      <c r="M444" s="78" t="s">
        <v>1047</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51" cm="1">
        <f t="array" ref="H445">Scope3_Equations.VEERG_15_10_1_1__1_OtherPurchasedGoodsAndServices(F445,G445*10^-3)</f>
        <v>9.0700000000000003E-2</v>
      </c>
      <c r="I445" s="74">
        <v>0.9</v>
      </c>
      <c r="J445" s="251" cm="1">
        <f t="array" ref="J445">Scope3_Equations.VEERG_15_10_1_1__1_OtherPurchasedGoodsAndServices(F445,IF(I445,I445,G445)*10^-3)</f>
        <v>9.0000000000000011E-2</v>
      </c>
      <c r="K445" s="33"/>
      <c r="L445" s="13"/>
      <c r="M445" s="33"/>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51" cm="1">
        <f t="array" ref="H446">Scope3_Equations.VEERG_15_10_1_1__1_OtherPurchasedGoodsAndServices(F446,G446*10^-3)</f>
        <v>7.22E-2</v>
      </c>
      <c r="I446" s="74">
        <v>0.7</v>
      </c>
      <c r="J446" s="251" cm="1">
        <f t="array" ref="J446">Scope3_Equations.VEERG_15_10_1_1__1_OtherPurchasedGoodsAndServices(F446,IF(I446,I446,G446)*10^-3)</f>
        <v>6.9999999999999993E-2</v>
      </c>
      <c r="K446" s="33"/>
      <c r="L446" s="13"/>
      <c r="M446" s="33"/>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51" cm="1">
        <f t="array" ref="H447">Scope3_Equations.VEERG_15_10_1_1__1_OtherPurchasedGoodsAndServices(F447,G447*10^-3)</f>
        <v>8.0399999999999999E-2</v>
      </c>
      <c r="I447" s="74">
        <v>0.8</v>
      </c>
      <c r="J447" s="251" cm="1">
        <f t="array" ref="J447">Scope3_Equations.VEERG_15_10_1_1__1_OtherPurchasedGoodsAndServices(F447,IF(I447,I447,G447)*10^-3)</f>
        <v>0.08</v>
      </c>
      <c r="K447" s="33"/>
      <c r="L447" s="13"/>
      <c r="M447" s="33"/>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51" cm="1">
        <f t="array" ref="H448">Scope3_Equations.VEERG_15_10_1_1__1_OtherPurchasedGoodsAndServices(F448,G448*10^-3)</f>
        <v>8.0399999999999999E-2</v>
      </c>
      <c r="I448" s="74">
        <v>0.8</v>
      </c>
      <c r="J448" s="251" cm="1">
        <f t="array" ref="J448">Scope3_Equations.VEERG_15_10_1_1__1_OtherPurchasedGoodsAndServices(F448,IF(I448,I448,G448)*10^-3)</f>
        <v>0.08</v>
      </c>
      <c r="K448" s="33"/>
      <c r="L448" s="13"/>
      <c r="M448" s="33"/>
    </row>
    <row r="449" spans="1: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51" cm="1">
        <f t="array" ref="H449">Scope3_Equations.VEERG_15_10_1_1__1_OtherPurchasedGoodsAndServices(F449,G449*10^-3)</f>
        <v>9.0700000000000003E-2</v>
      </c>
      <c r="I449" s="74">
        <v>0.9</v>
      </c>
      <c r="J449" s="251" cm="1">
        <f t="array" ref="J449">Scope3_Equations.VEERG_15_10_1_1__1_OtherPurchasedGoodsAndServices(F449,IF(I449,I449,G449)*10^-3)</f>
        <v>9.0000000000000011E-2</v>
      </c>
      <c r="K449" s="33"/>
      <c r="L449" s="13"/>
      <c r="M449" s="33"/>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51" cm="1">
        <f t="array" ref="H450">Scope3_Equations.VEERG_15_10_1_1__1_OtherPurchasedGoodsAndServices(F450,G450*10^-3)</f>
        <v>9.0700000000000003E-2</v>
      </c>
      <c r="I450" s="74">
        <v>0.9</v>
      </c>
      <c r="J450" s="251" cm="1">
        <f t="array" ref="J450">Scope3_Equations.VEERG_15_10_1_1__1_OtherPurchasedGoodsAndServices(F450,IF(I450,I450,G450)*10^-3)</f>
        <v>9.0000000000000011E-2</v>
      </c>
      <c r="K450" s="33"/>
      <c r="L450" s="13"/>
      <c r="M450" s="33"/>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51" cm="1">
        <f t="array" ref="H451">Scope3_Equations.VEERG_15_10_1_1__1_OtherPurchasedGoodsAndServices(F451,G451*10^-3)</f>
        <v>0</v>
      </c>
      <c r="I451" s="74"/>
      <c r="J451" s="251" cm="1">
        <f t="array" ref="J451">Scope3_Equations.VEERG_15_10_1_1__1_OtherPurchasedGoodsAndServices(F451,IF(I451,I451,G451)*10^-3)</f>
        <v>0</v>
      </c>
      <c r="K451" s="33"/>
      <c r="L451" s="13"/>
      <c r="M451" s="33"/>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51" cm="1">
        <f t="array" ref="H452">Scope3_Equations.VEERG_15_10_1_1__1_OtherPurchasedGoodsAndServices(F452,G452*10^-3)</f>
        <v>0</v>
      </c>
      <c r="I452" s="74"/>
      <c r="J452" s="251" cm="1">
        <f t="array" ref="J452">Scope3_Equations.VEERG_15_10_1_1__1_OtherPurchasedGoodsAndServices(F452,IF(I452,I452,G452)*10^-3)</f>
        <v>0</v>
      </c>
      <c r="K452" s="33"/>
      <c r="L452" s="13"/>
      <c r="M452" s="33"/>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51" cm="1">
        <f t="array" ref="H453">Scope3_Equations.VEERG_15_10_1_1__1_OtherPurchasedGoodsAndServices(F453,G453*10^-3)</f>
        <v>0</v>
      </c>
      <c r="I453" s="74"/>
      <c r="J453" s="251" cm="1">
        <f t="array" ref="J453">Scope3_Equations.VEERG_15_10_1_1__1_OtherPurchasedGoodsAndServices(F453,IF(I453,I453,G453)*10^-3)</f>
        <v>0</v>
      </c>
      <c r="K453" s="33"/>
      <c r="L453" s="13"/>
      <c r="M453" s="33"/>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51" cm="1">
        <f t="array" ref="H454">Scope3_Equations.VEERG_15_10_1_1__1_OtherPurchasedGoodsAndServices(F454,G454*10^-3)</f>
        <v>0</v>
      </c>
      <c r="I454" s="74"/>
      <c r="J454" s="251" cm="1">
        <f t="array" ref="J454">Scope3_Equations.VEERG_15_10_1_1__1_OtherPurchasedGoodsAndServices(F454,IF(I454,I454,G454)*10^-3)</f>
        <v>0</v>
      </c>
      <c r="K454" s="33"/>
      <c r="L454" s="13"/>
      <c r="M454" s="33"/>
    </row>
    <row r="456" spans="1:13" ht="20.100000000000001" customHeight="1" x14ac:dyDescent="0.2">
      <c r="D456" s="253" t="s">
        <v>1041</v>
      </c>
      <c r="E456" s="86">
        <f>SUM(H445:H454)</f>
        <v>0.50509999999999999</v>
      </c>
      <c r="F456" s="95" t="str">
        <f>$E$170</f>
        <v>t CO2e</v>
      </c>
    </row>
    <row r="457" spans="1:13" ht="20.100000000000001" customHeight="1" x14ac:dyDescent="0.2">
      <c r="D457" s="253" t="s">
        <v>1044</v>
      </c>
      <c r="E457" s="86">
        <f>SUM(J445:J454)</f>
        <v>0.5</v>
      </c>
      <c r="F457" s="95" t="str">
        <f>$E$170</f>
        <v>t CO2e</v>
      </c>
    </row>
    <row r="458" spans="1:13" ht="20.100000000000001" customHeight="1" x14ac:dyDescent="0.2">
      <c r="A458" s="79" t="str">
        <f>HYPERLINK("#A1", "▲ Back to top")</f>
        <v>▲ Back to top</v>
      </c>
    </row>
    <row r="460" spans="1:13" ht="20.100000000000001" customHeight="1" x14ac:dyDescent="0.2">
      <c r="D460" s="244" t="s">
        <v>1138</v>
      </c>
    </row>
    <row r="462" spans="1:13" ht="20.100000000000001" customHeight="1" x14ac:dyDescent="0.2">
      <c r="D462" s="78" t="s">
        <v>1035</v>
      </c>
      <c r="E462" s="250" t="s">
        <v>1136</v>
      </c>
      <c r="F462" s="250" t="s">
        <v>1000</v>
      </c>
      <c r="G462" s="120" t="s">
        <v>1139</v>
      </c>
      <c r="H462" s="120" t="s">
        <v>1041</v>
      </c>
      <c r="I462" s="78" t="s">
        <v>1140</v>
      </c>
      <c r="J462" s="120" t="s">
        <v>1044</v>
      </c>
      <c r="K462" s="78" t="s">
        <v>1045</v>
      </c>
      <c r="L462" s="78" t="s">
        <v>1046</v>
      </c>
      <c r="M462" s="78" t="s">
        <v>1047</v>
      </c>
    </row>
    <row r="463" spans="1: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51" cm="1">
        <f t="array" ref="H463">Scope3_Equations.VEERG_15_10_1_1__1_OtherPurchasedGoodsAndServices(F463,G463*10^-3)</f>
        <v>5.47E-3</v>
      </c>
      <c r="I463" s="74">
        <v>0.05</v>
      </c>
      <c r="J463" s="251" cm="1">
        <f t="array" ref="J463">Scope3_Equations.VEERG_15_10_1_1__1_OtherPurchasedGoodsAndServices(F463,IF(I463,I463,G463)*10^-3)</f>
        <v>5.0000000000000001E-3</v>
      </c>
      <c r="K463" s="33"/>
      <c r="L463" s="13"/>
      <c r="M463" s="33"/>
    </row>
    <row r="464" spans="1: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51" cm="1">
        <f t="array" ref="H464">Scope3_Equations.VEERG_15_10_1_1__1_OtherPurchasedGoodsAndServices(F464,G464*10^-3)</f>
        <v>1.42E-3</v>
      </c>
      <c r="I464" s="74">
        <v>0.01</v>
      </c>
      <c r="J464" s="251" cm="1">
        <f t="array" ref="J464">Scope3_Equations.VEERG_15_10_1_1__1_OtherPurchasedGoodsAndServices(F464,IF(I464,I464,G464)*10^-3)</f>
        <v>1E-3</v>
      </c>
      <c r="K464" s="33"/>
      <c r="L464" s="13"/>
      <c r="M464" s="33"/>
    </row>
    <row r="465" spans="4: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51" cm="1">
        <f t="array" ref="H465">Scope3_Equations.VEERG_15_10_1_1__1_OtherPurchasedGoodsAndServices(F465,G465*10^-3)</f>
        <v>1.4300000000000001E-3</v>
      </c>
      <c r="I465" s="74">
        <v>0.01</v>
      </c>
      <c r="J465" s="251" cm="1">
        <f t="array" ref="J465">Scope3_Equations.VEERG_15_10_1_1__1_OtherPurchasedGoodsAndServices(F465,IF(I465,I465,G465)*10^-3)</f>
        <v>1E-3</v>
      </c>
      <c r="K465" s="33"/>
      <c r="L465" s="13"/>
      <c r="M465" s="33"/>
    </row>
    <row r="466" spans="4: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51" cm="1">
        <f t="array" ref="H466">Scope3_Equations.VEERG_15_10_1_1__1_OtherPurchasedGoodsAndServices(F466,G466*10^-3)</f>
        <v>4.26E-4</v>
      </c>
      <c r="I466" s="74">
        <v>4.0000000000000001E-3</v>
      </c>
      <c r="J466" s="251" cm="1">
        <f t="array" ref="J466">Scope3_Equations.VEERG_15_10_1_1__1_OtherPurchasedGoodsAndServices(F466,IF(I466,I466,G466)*10^-3)</f>
        <v>3.9999999999999996E-4</v>
      </c>
      <c r="K466" s="33"/>
      <c r="L466" s="13"/>
      <c r="M466" s="33"/>
    </row>
    <row r="467" spans="4: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51" cm="1">
        <f t="array" ref="H467">Scope3_Equations.VEERG_15_10_1_1__1_OtherPurchasedGoodsAndServices(F467,G467*10^-3)</f>
        <v>5.47E-3</v>
      </c>
      <c r="I467" s="74">
        <v>0.05</v>
      </c>
      <c r="J467" s="251" cm="1">
        <f t="array" ref="J467">Scope3_Equations.VEERG_15_10_1_1__1_OtherPurchasedGoodsAndServices(F467,IF(I467,I467,G467)*10^-3)</f>
        <v>5.0000000000000001E-3</v>
      </c>
      <c r="K467" s="33"/>
      <c r="L467" s="13"/>
      <c r="M467" s="33"/>
    </row>
    <row r="468" spans="4: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51" cm="1">
        <f t="array" ref="H468">Scope3_Equations.VEERG_15_10_1_1__1_OtherPurchasedGoodsAndServices(F468,G468*10^-3)</f>
        <v>1.42E-3</v>
      </c>
      <c r="I468" s="74">
        <v>0.01</v>
      </c>
      <c r="J468" s="251" cm="1">
        <f t="array" ref="J468">Scope3_Equations.VEERG_15_10_1_1__1_OtherPurchasedGoodsAndServices(F468,IF(I468,I468,G468)*10^-3)</f>
        <v>1E-3</v>
      </c>
      <c r="K468" s="33"/>
      <c r="L468" s="13"/>
      <c r="M468" s="33"/>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51" cm="1">
        <f t="array" ref="H469">Scope3_Equations.VEERG_15_10_1_1__1_OtherPurchasedGoodsAndServices(F469,G469*10^-3)</f>
        <v>0</v>
      </c>
      <c r="I469" s="74"/>
      <c r="J469" s="251" cm="1">
        <f t="array" ref="J469">Scope3_Equations.VEERG_15_10_1_1__1_OtherPurchasedGoodsAndServices(F469,IF(I469,I469,G469)*10^-3)</f>
        <v>0</v>
      </c>
      <c r="K469" s="33"/>
      <c r="L469" s="13"/>
      <c r="M469" s="33"/>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51" cm="1">
        <f t="array" ref="H470">Scope3_Equations.VEERG_15_10_1_1__1_OtherPurchasedGoodsAndServices(F470,G470*10^-3)</f>
        <v>0</v>
      </c>
      <c r="I470" s="74"/>
      <c r="J470" s="251" cm="1">
        <f t="array" ref="J470">Scope3_Equations.VEERG_15_10_1_1__1_OtherPurchasedGoodsAndServices(F470,IF(I470,I470,G470)*10^-3)</f>
        <v>0</v>
      </c>
      <c r="K470" s="33"/>
      <c r="L470" s="13"/>
      <c r="M470" s="33"/>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51" cm="1">
        <f t="array" ref="H471">Scope3_Equations.VEERG_15_10_1_1__1_OtherPurchasedGoodsAndServices(F471,G471*10^-3)</f>
        <v>0</v>
      </c>
      <c r="I471" s="74"/>
      <c r="J471" s="251" cm="1">
        <f t="array" ref="J471">Scope3_Equations.VEERG_15_10_1_1__1_OtherPurchasedGoodsAndServices(F471,IF(I471,I471,G471)*10^-3)</f>
        <v>0</v>
      </c>
      <c r="K471" s="33"/>
      <c r="L471" s="13"/>
      <c r="M471" s="33"/>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51" cm="1">
        <f t="array" ref="H472">Scope3_Equations.VEERG_15_10_1_1__1_OtherPurchasedGoodsAndServices(F472,G472*10^-3)</f>
        <v>0</v>
      </c>
      <c r="I472" s="74"/>
      <c r="J472" s="251" cm="1">
        <f t="array" ref="J472">Scope3_Equations.VEERG_15_10_1_1__1_OtherPurchasedGoodsAndServices(F472,IF(I472,I472,G472)*10^-3)</f>
        <v>0</v>
      </c>
      <c r="K472" s="33"/>
      <c r="L472" s="13"/>
      <c r="M472" s="33"/>
    </row>
    <row r="474" spans="4:13" ht="20.100000000000001" customHeight="1" x14ac:dyDescent="0.2">
      <c r="D474" s="253" t="s">
        <v>1041</v>
      </c>
      <c r="E474" s="86">
        <f>SUM(H463:H472)</f>
        <v>1.5636000000000001E-2</v>
      </c>
      <c r="F474" s="95" t="str">
        <f>$E$170</f>
        <v>t CO2e</v>
      </c>
    </row>
    <row r="475" spans="4:13" ht="20.100000000000001" customHeight="1" x14ac:dyDescent="0.2">
      <c r="D475" s="253" t="s">
        <v>1044</v>
      </c>
      <c r="E475" s="86">
        <f>SUM(J463:J472)</f>
        <v>1.3400000000000002E-2</v>
      </c>
      <c r="F475" s="95" t="str">
        <f>$E$170</f>
        <v>t CO2e</v>
      </c>
    </row>
    <row r="478" spans="4:13" ht="20.100000000000001" customHeight="1" x14ac:dyDescent="0.2">
      <c r="D478" s="244" t="s">
        <v>1141</v>
      </c>
    </row>
    <row r="480" spans="4:13" ht="20.100000000000001" customHeight="1" x14ac:dyDescent="0.2">
      <c r="D480" s="78" t="s">
        <v>952</v>
      </c>
      <c r="E480" s="78" t="s">
        <v>1142</v>
      </c>
      <c r="F480" s="120" t="s">
        <v>1139</v>
      </c>
      <c r="G480" s="120" t="s">
        <v>1041</v>
      </c>
      <c r="H480" s="78" t="s">
        <v>1140</v>
      </c>
      <c r="I480" s="120" t="s">
        <v>1044</v>
      </c>
      <c r="J480" s="78" t="s">
        <v>1045</v>
      </c>
      <c r="K480" s="78" t="s">
        <v>1046</v>
      </c>
      <c r="L480" s="78" t="s">
        <v>1047</v>
      </c>
    </row>
    <row r="481" spans="1:12" ht="20.100000000000001" customHeight="1" x14ac:dyDescent="0.2">
      <c r="D481" s="15"/>
      <c r="E481" s="15">
        <f>IFERROR(X_Cell_FarmInputs_Seed_BarleyGrain, 0)</f>
        <v>0</v>
      </c>
      <c r="F481" s="15" cm="1">
        <f t="array" ref="F481">Common_InputFunctions.Utility_LookupValueInTableNumber(D481,Table_SourceData_Scope3_Other[Product],Table_SourceData_Scope3_Other[Emissions intensity])</f>
        <v>0</v>
      </c>
      <c r="G481" s="251" cm="1">
        <f t="array" ref="G481">Scope3_Equations.VEERG_15_10_1_1__1_OtherPurchasedGoodsAndServices(E481,F481*10^-3)</f>
        <v>0</v>
      </c>
      <c r="H481" s="74">
        <v>0.2</v>
      </c>
      <c r="I481" s="251" cm="1">
        <f t="array" ref="I481">Scope3_Equations.VEERG_15_10_1_1__1_OtherPurchasedGoodsAndServices(E481,IF(H481,H481,F481)*10^-3)</f>
        <v>0</v>
      </c>
      <c r="J481" s="33"/>
      <c r="K481" s="13"/>
      <c r="L481" s="33"/>
    </row>
    <row r="482" spans="1:12" ht="20.100000000000001" customHeight="1" x14ac:dyDescent="0.2">
      <c r="D482" s="15"/>
      <c r="E482" s="15">
        <f>IFERROR(X_Cell_FarmInputs_Seed_MaizeGrain, 0)</f>
        <v>0</v>
      </c>
      <c r="F482" s="15" cm="1">
        <f t="array" ref="F482">Common_InputFunctions.Utility_LookupValueInTableNumber(D482,Table_SourceData_Scope3_Other[Product],Table_SourceData_Scope3_Other[Emissions intensity])</f>
        <v>0</v>
      </c>
      <c r="G482" s="251" cm="1">
        <f t="array" ref="G482">Scope3_Equations.VEERG_15_10_1_1__1_OtherPurchasedGoodsAndServices(E482,F482*10^-3)</f>
        <v>0</v>
      </c>
      <c r="H482" s="74"/>
      <c r="I482" s="251" cm="1">
        <f t="array" ref="I482">Scope3_Equations.VEERG_15_10_1_1__1_OtherPurchasedGoodsAndServices(E482,IF(H482,H482,F482)*10^-3)</f>
        <v>0</v>
      </c>
      <c r="J482" s="33"/>
      <c r="K482" s="13"/>
      <c r="L482" s="33"/>
    </row>
    <row r="483" spans="1:12" ht="20.100000000000001" customHeight="1" x14ac:dyDescent="0.2">
      <c r="D483" s="15"/>
      <c r="E483" s="15">
        <f>IFERROR(X_Cell_FarmInputs_Seed_OatGrain, 0)</f>
        <v>0</v>
      </c>
      <c r="F483" s="15" cm="1">
        <f t="array" ref="F483">Common_InputFunctions.Utility_LookupValueInTableNumber(D483,Table_SourceData_Scope3_Other[Product],Table_SourceData_Scope3_Other[Emissions intensity])</f>
        <v>0</v>
      </c>
      <c r="G483" s="251" cm="1">
        <f t="array" ref="G483">Scope3_Equations.VEERG_15_10_1_1__1_OtherPurchasedGoodsAndServices(E483,F483*10^-3)</f>
        <v>0</v>
      </c>
      <c r="H483" s="74">
        <v>0.2</v>
      </c>
      <c r="I483" s="251" cm="1">
        <f t="array" ref="I483">Scope3_Equations.VEERG_15_10_1_1__1_OtherPurchasedGoodsAndServices(E483,IF(H483,H483,F483)*10^-3)</f>
        <v>0</v>
      </c>
      <c r="J483" s="33"/>
      <c r="K483" s="13"/>
      <c r="L483" s="33"/>
    </row>
    <row r="484" spans="1:12" ht="20.100000000000001" customHeight="1" x14ac:dyDescent="0.2">
      <c r="D484" s="15"/>
      <c r="E484" s="15">
        <f>IFERROR(X_Cell_FarmInputs_Seed_SorghumGrain, 0)</f>
        <v>0</v>
      </c>
      <c r="F484" s="15" cm="1">
        <f t="array" ref="F484">Common_InputFunctions.Utility_LookupValueInTableNumber(D484,Table_SourceData_Scope3_Other[Product],Table_SourceData_Scope3_Other[Emissions intensity])</f>
        <v>0</v>
      </c>
      <c r="G484" s="251" cm="1">
        <f t="array" ref="G484">Scope3_Equations.VEERG_15_10_1_1__1_OtherPurchasedGoodsAndServices(E484,F484*10^-3)</f>
        <v>0</v>
      </c>
      <c r="H484" s="74"/>
      <c r="I484" s="251" cm="1">
        <f t="array" ref="I484">Scope3_Equations.VEERG_15_10_1_1__1_OtherPurchasedGoodsAndServices(E484,IF(H484,H484,F484)*10^-3)</f>
        <v>0</v>
      </c>
      <c r="J484" s="33"/>
      <c r="K484" s="13"/>
      <c r="L484" s="33"/>
    </row>
    <row r="485" spans="1:12" ht="20.100000000000001" customHeight="1" x14ac:dyDescent="0.2">
      <c r="D485" s="15"/>
      <c r="E485" s="15">
        <f>IFERROR(X_Cell_FarmInputs_Seed_WheatGrain, 0)</f>
        <v>0</v>
      </c>
      <c r="F485" s="15" cm="1">
        <f t="array" ref="F485">Common_InputFunctions.Utility_LookupValueInTableNumber(D485,Table_SourceData_Scope3_Other[Product],Table_SourceData_Scope3_Other[Emissions intensity])</f>
        <v>0</v>
      </c>
      <c r="G485" s="251" cm="1">
        <f t="array" ref="G485">Scope3_Equations.VEERG_15_10_1_1__1_OtherPurchasedGoodsAndServices(E485,F485*10^-3)</f>
        <v>0</v>
      </c>
      <c r="H485" s="74">
        <v>0.2</v>
      </c>
      <c r="I485" s="251" cm="1">
        <f t="array" ref="I485">Scope3_Equations.VEERG_15_10_1_1__1_OtherPurchasedGoodsAndServices(E485,IF(H485,H485,F485)*10^-3)</f>
        <v>0</v>
      </c>
      <c r="J485" s="33"/>
      <c r="K485" s="13"/>
      <c r="L485" s="33"/>
    </row>
    <row r="487" spans="1:12" ht="20.100000000000001" customHeight="1" x14ac:dyDescent="0.2">
      <c r="D487" s="253" t="s">
        <v>1041</v>
      </c>
      <c r="E487" s="86">
        <f>SUM(G481:G485)</f>
        <v>0</v>
      </c>
      <c r="F487" s="95" t="str">
        <f>$E$170</f>
        <v>t CO2e</v>
      </c>
    </row>
    <row r="488" spans="1:12" ht="20.100000000000001" customHeight="1" x14ac:dyDescent="0.2">
      <c r="A488" s="79" t="str">
        <f>HYPERLINK("#A1", "▲ Back to top")</f>
        <v>▲ Back to top</v>
      </c>
      <c r="D488" s="253" t="s">
        <v>1044</v>
      </c>
      <c r="E488" s="86">
        <f>SUM(I481:I485)</f>
        <v>0</v>
      </c>
      <c r="F488" s="95" t="str">
        <f>$E$170</f>
        <v>t CO2e</v>
      </c>
    </row>
    <row r="491" spans="1:12" ht="20.100000000000001" customHeight="1" x14ac:dyDescent="0.2">
      <c r="D491" s="244" t="s">
        <v>1143</v>
      </c>
    </row>
    <row r="493" spans="1:12" ht="20.100000000000001" customHeight="1" x14ac:dyDescent="0.2">
      <c r="D493" s="78" t="s">
        <v>952</v>
      </c>
      <c r="E493" s="78" t="s">
        <v>1142</v>
      </c>
      <c r="F493" s="120" t="s">
        <v>1139</v>
      </c>
      <c r="G493" s="120" t="s">
        <v>1041</v>
      </c>
      <c r="H493" s="78" t="s">
        <v>1140</v>
      </c>
      <c r="I493" s="120" t="s">
        <v>1044</v>
      </c>
      <c r="J493" s="78" t="s">
        <v>1045</v>
      </c>
      <c r="K493" s="78" t="s">
        <v>1046</v>
      </c>
      <c r="L493" s="78" t="s">
        <v>1047</v>
      </c>
    </row>
    <row r="494" spans="1: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51" cm="1">
        <f t="array" ref="G494">Scope3_Equations.VEERG_15_10_1_1__1_OtherPurchasedGoodsAndServices(E494,F494*10^-3)</f>
        <v>4.2399999999999998E-3</v>
      </c>
      <c r="H494" s="74">
        <v>0.2</v>
      </c>
      <c r="I494" s="251" cm="1">
        <f t="array" ref="I494">Scope3_Equations.VEERG_15_10_1_1__1_OtherPurchasedGoodsAndServices(E494,IF(H494,H494,F494)*10^-3)</f>
        <v>0.02</v>
      </c>
      <c r="J494" s="33"/>
      <c r="K494" s="13"/>
      <c r="L494" s="33"/>
    </row>
    <row r="495" spans="1: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51" cm="1">
        <f t="array" ref="G495">Scope3_Equations.VEERG_15_10_1_1__1_OtherPurchasedGoodsAndServices(E495,F495*10^-3)</f>
        <v>5.8599999999999998E-3</v>
      </c>
      <c r="H495" s="74"/>
      <c r="I495" s="251" cm="1">
        <f t="array" ref="I495">Scope3_Equations.VEERG_15_10_1_1__1_OtherPurchasedGoodsAndServices(E495,IF(H495,H495,F495)*10^-3)</f>
        <v>5.8599999999999998E-3</v>
      </c>
      <c r="J495" s="33"/>
      <c r="K495" s="13"/>
      <c r="L495" s="33"/>
    </row>
    <row r="496" spans="1: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51" cm="1">
        <f t="array" ref="G496">Scope3_Equations.VEERG_15_10_1_1__1_OtherPurchasedGoodsAndServices(E496,F496*10^-3)</f>
        <v>0</v>
      </c>
      <c r="H496" s="74">
        <v>0.2</v>
      </c>
      <c r="I496" s="251" cm="1">
        <f t="array" ref="I496">Scope3_Equations.VEERG_15_10_1_1__1_OtherPurchasedGoodsAndServices(E496,IF(H496,H496,F496)*10^-3)</f>
        <v>0</v>
      </c>
      <c r="J496" s="33"/>
      <c r="K496" s="13"/>
      <c r="L496" s="33"/>
    </row>
    <row r="498" spans="4:14" ht="20.100000000000001" customHeight="1" x14ac:dyDescent="0.2">
      <c r="D498" s="253" t="s">
        <v>1041</v>
      </c>
      <c r="E498" s="86">
        <f>SUM(G494:G496)</f>
        <v>1.01E-2</v>
      </c>
      <c r="F498" s="95" t="str">
        <f>$E$170</f>
        <v>t CO2e</v>
      </c>
    </row>
    <row r="499" spans="4:14" ht="20.100000000000001" customHeight="1" x14ac:dyDescent="0.2">
      <c r="D499" s="253" t="s">
        <v>1044</v>
      </c>
      <c r="E499" s="86">
        <f>SUM(I494:I496)</f>
        <v>2.5860000000000001E-2</v>
      </c>
      <c r="F499" s="95" t="str">
        <f>$E$170</f>
        <v>t CO2e</v>
      </c>
    </row>
    <row r="502" spans="4:14" ht="20.100000000000001" customHeight="1" x14ac:dyDescent="0.2">
      <c r="D502" s="244" t="s">
        <v>1144</v>
      </c>
    </row>
    <row r="504" spans="4:14" ht="20.100000000000001" customHeight="1" x14ac:dyDescent="0.2">
      <c r="D504" s="78" t="s">
        <v>952</v>
      </c>
      <c r="E504" s="78" t="s">
        <v>879</v>
      </c>
      <c r="F504" s="78" t="s">
        <v>595</v>
      </c>
      <c r="G504" s="120" t="s">
        <v>1124</v>
      </c>
      <c r="H504" s="120" t="s">
        <v>1125</v>
      </c>
      <c r="I504" s="78" t="s">
        <v>1126</v>
      </c>
      <c r="J504" s="78" t="s">
        <v>1145</v>
      </c>
      <c r="K504" s="120" t="s">
        <v>1127</v>
      </c>
      <c r="L504" s="78" t="s">
        <v>1045</v>
      </c>
      <c r="M504" s="78" t="s">
        <v>1046</v>
      </c>
      <c r="N504" s="78" t="s">
        <v>1047</v>
      </c>
    </row>
    <row r="505" spans="4: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352</v>
      </c>
      <c r="H505" s="15" t="s">
        <v>352</v>
      </c>
      <c r="I505" s="74">
        <v>4</v>
      </c>
      <c r="J505" s="13" t="s">
        <v>1146</v>
      </c>
      <c r="K505" s="251" cm="1">
        <f t="array" ref="K505">Scope3_Equations.VEERG_15_10_1_1__1_OtherPurchasedGoodsAndServices(E505,IF(J505="kg / amount unit", I505*10^-3, I505))</f>
        <v>4000</v>
      </c>
      <c r="L505" s="33"/>
      <c r="M505" s="13"/>
      <c r="N505" s="33"/>
    </row>
    <row r="506" spans="4:14" ht="20.100000000000001" customHeight="1" x14ac:dyDescent="0.2">
      <c r="D506" s="15">
        <v>0</v>
      </c>
      <c r="E506" s="15">
        <v>0</v>
      </c>
      <c r="F506" s="15">
        <v>0</v>
      </c>
      <c r="G506" s="15" t="s">
        <v>352</v>
      </c>
      <c r="H506" s="15" t="s">
        <v>352</v>
      </c>
      <c r="I506" s="74">
        <v>2</v>
      </c>
      <c r="J506" s="13" t="s">
        <v>1146</v>
      </c>
      <c r="K506" s="251" cm="1">
        <f t="array" ref="K506">Scope3_Equations.VEERG_15_10_1_1__1_OtherPurchasedGoodsAndServices(E506,IF(J506="kg / amount unit", I506*10^-3, I506))</f>
        <v>0</v>
      </c>
      <c r="L506" s="33"/>
      <c r="M506" s="13"/>
      <c r="N506" s="33"/>
    </row>
    <row r="507" spans="4:14" ht="20.100000000000001" customHeight="1" x14ac:dyDescent="0.2">
      <c r="D507" s="15">
        <v>0</v>
      </c>
      <c r="E507" s="15">
        <v>0</v>
      </c>
      <c r="F507" s="15">
        <v>0</v>
      </c>
      <c r="G507" s="15" t="s">
        <v>352</v>
      </c>
      <c r="H507" s="15" t="s">
        <v>352</v>
      </c>
      <c r="I507" s="74"/>
      <c r="J507" s="13"/>
      <c r="K507" s="251" cm="1">
        <f t="array" ref="K507">Scope3_Equations.VEERG_15_10_1_1__1_OtherPurchasedGoodsAndServices(E507,IF(J507="kg / amount unit", I507*10^-3, I507))</f>
        <v>0</v>
      </c>
      <c r="L507" s="33"/>
      <c r="M507" s="13"/>
      <c r="N507" s="33"/>
    </row>
    <row r="508" spans="4:14" ht="20.100000000000001" customHeight="1" x14ac:dyDescent="0.2">
      <c r="D508" s="15">
        <v>0</v>
      </c>
      <c r="E508" s="15">
        <v>0</v>
      </c>
      <c r="F508" s="15">
        <v>0</v>
      </c>
      <c r="G508" s="15" t="s">
        <v>352</v>
      </c>
      <c r="H508" s="15" t="s">
        <v>352</v>
      </c>
      <c r="I508" s="74"/>
      <c r="J508" s="13"/>
      <c r="K508" s="251" cm="1">
        <f t="array" ref="K508">Scope3_Equations.VEERG_15_10_1_1__1_OtherPurchasedGoodsAndServices(E508,IF(J508="kg / amount unit", I508*10^-3, I508))</f>
        <v>0</v>
      </c>
      <c r="L508" s="33"/>
      <c r="M508" s="13"/>
      <c r="N508" s="33"/>
    </row>
    <row r="509" spans="4:14" ht="20.100000000000001" customHeight="1" x14ac:dyDescent="0.2">
      <c r="D509" s="15">
        <v>0</v>
      </c>
      <c r="E509" s="15">
        <v>0</v>
      </c>
      <c r="F509" s="15">
        <v>0</v>
      </c>
      <c r="G509" s="15" t="s">
        <v>352</v>
      </c>
      <c r="H509" s="15" t="s">
        <v>352</v>
      </c>
      <c r="I509" s="74"/>
      <c r="J509" s="13"/>
      <c r="K509" s="251" cm="1">
        <f t="array" ref="K509">Scope3_Equations.VEERG_15_10_1_1__1_OtherPurchasedGoodsAndServices(E509,IF(J509="kg / amount unit", I509*10^-3, I509))</f>
        <v>0</v>
      </c>
      <c r="L509" s="33"/>
      <c r="M509" s="13"/>
      <c r="N509" s="33"/>
    </row>
    <row r="510" spans="4:14" ht="20.100000000000001" customHeight="1" x14ac:dyDescent="0.2">
      <c r="D510" s="15">
        <v>0</v>
      </c>
      <c r="E510" s="15">
        <v>0</v>
      </c>
      <c r="F510" s="15">
        <v>0</v>
      </c>
      <c r="G510" s="15" t="s">
        <v>352</v>
      </c>
      <c r="H510" s="15" t="s">
        <v>352</v>
      </c>
      <c r="I510" s="74"/>
      <c r="J510" s="13"/>
      <c r="K510" s="251" cm="1">
        <f t="array" ref="K510">Scope3_Equations.VEERG_15_10_1_1__1_OtherPurchasedGoodsAndServices(E510,IF(J510="kg / amount unit", I510*10^-3, I510))</f>
        <v>0</v>
      </c>
      <c r="L510" s="33"/>
      <c r="M510" s="13"/>
      <c r="N510" s="33"/>
    </row>
    <row r="511" spans="4:14" ht="20.100000000000001" customHeight="1" x14ac:dyDescent="0.2">
      <c r="D511" s="15">
        <v>0</v>
      </c>
      <c r="E511" s="15">
        <v>0</v>
      </c>
      <c r="F511" s="15">
        <v>0</v>
      </c>
      <c r="G511" s="15" t="s">
        <v>352</v>
      </c>
      <c r="H511" s="15" t="s">
        <v>352</v>
      </c>
      <c r="I511" s="74"/>
      <c r="J511" s="13"/>
      <c r="K511" s="251" cm="1">
        <f t="array" ref="K511">Scope3_Equations.VEERG_15_10_1_1__1_OtherPurchasedGoodsAndServices(E511,IF(J511="kg / amount unit", I511*10^-3, I511))</f>
        <v>0</v>
      </c>
      <c r="L511" s="33"/>
      <c r="M511" s="13"/>
      <c r="N511" s="33"/>
    </row>
    <row r="512" spans="4:14" ht="20.100000000000001" customHeight="1" x14ac:dyDescent="0.2">
      <c r="D512" s="15">
        <v>0</v>
      </c>
      <c r="E512" s="15">
        <v>0</v>
      </c>
      <c r="F512" s="15">
        <v>0</v>
      </c>
      <c r="G512" s="15" t="s">
        <v>352</v>
      </c>
      <c r="H512" s="15" t="s">
        <v>352</v>
      </c>
      <c r="I512" s="74"/>
      <c r="J512" s="13"/>
      <c r="K512" s="251" cm="1">
        <f t="array" ref="K512">Scope3_Equations.VEERG_15_10_1_1__1_OtherPurchasedGoodsAndServices(E512,IF(J512="kg / amount unit", I512*10^-3, I512))</f>
        <v>0</v>
      </c>
      <c r="L512" s="33"/>
      <c r="M512" s="13"/>
      <c r="N512" s="33"/>
    </row>
    <row r="513" spans="1:41" ht="20.100000000000001" customHeight="1" x14ac:dyDescent="0.2">
      <c r="D513" s="15">
        <v>0</v>
      </c>
      <c r="E513" s="15">
        <v>0</v>
      </c>
      <c r="F513" s="15">
        <v>0</v>
      </c>
      <c r="G513" s="15" t="s">
        <v>352</v>
      </c>
      <c r="H513" s="15" t="s">
        <v>352</v>
      </c>
      <c r="I513" s="74"/>
      <c r="J513" s="13"/>
      <c r="K513" s="251" cm="1">
        <f t="array" ref="K513">Scope3_Equations.VEERG_15_10_1_1__1_OtherPurchasedGoodsAndServices(E513,IF(J513="kg / amount unit", I513*10^-3, I513))</f>
        <v>0</v>
      </c>
      <c r="L513" s="33"/>
      <c r="M513" s="13"/>
      <c r="N513" s="33"/>
    </row>
    <row r="514" spans="1:41" ht="20.100000000000001" customHeight="1" x14ac:dyDescent="0.2">
      <c r="D514" s="15">
        <v>0</v>
      </c>
      <c r="E514" s="15">
        <v>0</v>
      </c>
      <c r="F514" s="15">
        <v>0</v>
      </c>
      <c r="G514" s="15" t="s">
        <v>352</v>
      </c>
      <c r="H514" s="15" t="s">
        <v>352</v>
      </c>
      <c r="I514" s="74"/>
      <c r="J514" s="13"/>
      <c r="K514" s="251" cm="1">
        <f t="array" ref="K514">Scope3_Equations.VEERG_15_10_1_1__1_OtherPurchasedGoodsAndServices(E514,IF(J514="kg / amount unit", I514*10^-3, I514))</f>
        <v>0</v>
      </c>
      <c r="L514" s="33"/>
      <c r="M514" s="13"/>
      <c r="N514" s="33"/>
    </row>
    <row r="516" spans="1:41" ht="20.100000000000001" customHeight="1" x14ac:dyDescent="0.2">
      <c r="D516" s="253" t="s">
        <v>1041</v>
      </c>
      <c r="E516" s="86" t="s">
        <v>352</v>
      </c>
      <c r="F516" s="95" t="str">
        <f>$E$170</f>
        <v>t CO2e</v>
      </c>
    </row>
    <row r="517" spans="1:41" ht="20.100000000000001" customHeight="1" x14ac:dyDescent="0.2">
      <c r="D517" s="253" t="s">
        <v>1044</v>
      </c>
      <c r="E517" s="86">
        <f>SUM(K505:K514)</f>
        <v>4000</v>
      </c>
      <c r="F517" s="95" t="str">
        <f>$E$170</f>
        <v>t CO2e</v>
      </c>
    </row>
    <row r="518" spans="1:41" ht="20.100000000000001" customHeight="1" x14ac:dyDescent="0.2">
      <c r="A518" s="79" t="str">
        <f>HYPERLINK("#A1", "▲ Back to top")</f>
        <v>▲ Back to top</v>
      </c>
    </row>
    <row r="520" spans="1:41" ht="20.100000000000001" customHeight="1" x14ac:dyDescent="0.2">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row>
    <row r="521" spans="1:41" ht="20.100000000000001" customHeight="1" x14ac:dyDescent="0.2">
      <c r="D521" s="2" t="str" cm="1">
        <f t="array" ref="D521">Scope3_Equations.VEERG_15_11_1_1__1_TotalUpstreamEmissionsFromFuel_Title()</f>
        <v>Total upstream emissions from scope 1 fuel consumption</v>
      </c>
    </row>
    <row r="522" spans="1:41" ht="20.100000000000001" customHeight="1" x14ac:dyDescent="0.2">
      <c r="D522" s="17" t="str" cm="1">
        <f t="array" ref="D522">Scope3_Equations.VEERG_15_11_1_1__1_TotalUpstreamEmissionsFromFuel_Source()</f>
        <v>VEERG 2026: 15.11.1.1, Equation (1)</v>
      </c>
    </row>
    <row r="523" spans="1:41" ht="20.100000000000001" customHeight="1" x14ac:dyDescent="0.2">
      <c r="D523" s="112" t="s">
        <v>328</v>
      </c>
      <c r="E523" s="112" t="str">
        <f ca="1">Common_InputFunctions.Utility_DisplayFunctionName(VEERG_15_11_1_1__1_TotalUpstreamEmissionsFromFuel_Result)</f>
        <v>=Scope3_Equations.VEERG_15_11_1_1__1_TotalUpstreamEmissionsFromFuel</v>
      </c>
    </row>
    <row r="527" spans="1:41" ht="20.100000000000001" customHeight="1" x14ac:dyDescent="0.2">
      <c r="D527" s="75" t="s">
        <v>329</v>
      </c>
      <c r="E527" s="1" t="str" cm="1">
        <f t="array" ref="E527">Scope3_Equations.VEERG_15_11_1_1__1_TotalUpstreamEmissionsFromFuel_Variable()</f>
        <v>E</v>
      </c>
    </row>
    <row r="528" spans="1:41" ht="20.100000000000001" customHeight="1" x14ac:dyDescent="0.2">
      <c r="D528" s="75" t="s">
        <v>118</v>
      </c>
      <c r="E528" s="9" t="str" cm="1">
        <f t="array" ref="E528">Scope3_Equations.VEERG_15_11_1_1__1_TotalUpstreamEmissionsFromFuel_Unit()</f>
        <v>t CO2e</v>
      </c>
    </row>
    <row r="530" spans="3:41" ht="20.100000000000001" customHeight="1" x14ac:dyDescent="0.2">
      <c r="D530" s="113" t="str" cm="1">
        <f t="array" ref="D530:E531">_xlfn.CHOOSECOLS(Scope3_Equations.VEERG_15_11_1_1__1_TotalUpstreamEmissionsFromFuel_Arguments(),1,2)</f>
        <v>E_WTTtransq</v>
      </c>
      <c r="E530" s="122" t="str">
        <v>upstream emissions from scope 1 transport fuel use</v>
      </c>
      <c r="F530" s="123"/>
      <c r="G530" s="113" t="str" cm="1">
        <f t="array" ref="G530:H531">_xlfn.CHOOSECOLS(Scope3_Equations.VEERG_15_11_1_1__1_TotalUpstreamEmissionsFromFuel_Arguments(),3,4)</f>
        <v>t CO2e</v>
      </c>
      <c r="H530" s="115" t="str">
        <v>Calculated by 15.11.1.1 (2)</v>
      </c>
      <c r="I530" s="113">
        <f>VEERG_8_1_1_1__1_FuelCombustionTransport_Result</f>
        <v>20.5016</v>
      </c>
    </row>
    <row r="531" spans="3:41" ht="20.100000000000001" customHeight="1" x14ac:dyDescent="0.2">
      <c r="D531" s="113" t="str">
        <v>E_WTTSCq</v>
      </c>
      <c r="E531" s="122" t="str">
        <v>upstream emissions from scope 1 stationary combustion fuel use</v>
      </c>
      <c r="F531" s="123"/>
      <c r="G531" s="113" t="str">
        <v>t CO2e</v>
      </c>
      <c r="H531" s="115" t="str">
        <v>Calculated by 15.11.1.1 (3)</v>
      </c>
      <c r="I531" s="113">
        <f>VEERG_8_2_1_1__1_FuelCombustionStationary_Result</f>
        <v>6.2923999999999998</v>
      </c>
    </row>
    <row r="533" spans="3:41" ht="20.100000000000001" customHeight="1" x14ac:dyDescent="0.2">
      <c r="D533" s="253" t="s">
        <v>1147</v>
      </c>
      <c r="E533" s="86" cm="1">
        <f t="array" ref="E533">Scope3_Equations.VEERG_15_11_1_1__1_TotalUpstreamEmissionsFromFuel(I530,I531)</f>
        <v>26.794</v>
      </c>
      <c r="F533" s="95" t="str">
        <f>$E$170</f>
        <v>t CO2e</v>
      </c>
    </row>
    <row r="535" spans="3:41" ht="20.100000000000001" customHeight="1" x14ac:dyDescent="0.2">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row>
    <row r="536" spans="3:41" ht="20.100000000000001" customHeight="1" x14ac:dyDescent="0.2">
      <c r="D536" s="2" t="str" cm="1">
        <f t="array" ref="D536">Scope3_Equations.VEERG_15_12_1_1__1_UpstreamPurchasedElectricityLocationBased_Title()</f>
        <v>Scope 3 emissions from purchased electricity location based</v>
      </c>
    </row>
    <row r="537" spans="3:41" ht="20.100000000000001" customHeight="1" x14ac:dyDescent="0.2">
      <c r="D537" s="17" t="str" cm="1">
        <f t="array" ref="D537">Scope3_Equations.VEERG_15_12_1_1__1_UpstreamPurchasedElectricityLocationBased_Source()</f>
        <v>VEERG 2026: 15.12.1.1, Equation (1)</v>
      </c>
    </row>
    <row r="538" spans="3:41" ht="20.100000000000001" customHeight="1" x14ac:dyDescent="0.2">
      <c r="D538" s="112" t="s">
        <v>328</v>
      </c>
      <c r="E538" s="112" t="str">
        <f ca="1">Common_InputFunctions.Utility_DisplayFunctionName(VEERG_15_12_1_1__1_UpstreamPurchasedElectricityLocationBased_Result)</f>
        <v>=Scope3_Equations.VEERG_15_12_1_1__1_UpstreamPurchasedElectricityLocationBased</v>
      </c>
    </row>
    <row r="541" spans="3:41" ht="20.100000000000001" customHeight="1" x14ac:dyDescent="0.2">
      <c r="D541" s="75" t="s">
        <v>329</v>
      </c>
      <c r="E541" s="1" t="str" cm="1">
        <f t="array" ref="E541">Scope3_Equations.VEERG_15_12_1_1__1_UpstreamPurchasedElectricityLocationBased_Variable()</f>
        <v>E_3elec</v>
      </c>
    </row>
    <row r="542" spans="3:41" ht="20.100000000000001" customHeight="1" x14ac:dyDescent="0.2">
      <c r="D542" s="75" t="s">
        <v>118</v>
      </c>
      <c r="E542" s="1" t="str" cm="1">
        <f t="array" ref="E542">Scope3_Equations.VEERG_15_12_1_1__1_UpstreamPurchasedElectricityLocationBased_Unit()</f>
        <v>t CO2e</v>
      </c>
    </row>
    <row r="544" spans="3:41" ht="20.100000000000001" customHeight="1" x14ac:dyDescent="0.2">
      <c r="D544" s="113" t="str" cm="1">
        <f t="array" ref="D544:E546">_xlfn.CHOOSECOLS(Scope3_Equations.VEERG_15_12_1_1__1_UpstreamPurchasedElectricityLocationBased_Arguments(),1,2)</f>
        <v>Q_elec</v>
      </c>
      <c r="E544" s="113" t="str">
        <v>amount of electricity purchased from the grid</v>
      </c>
      <c r="F544" s="113"/>
      <c r="G544" s="113" t="str" cm="1">
        <f t="array" ref="G544:H546">_xlfn.CHOOSECOLS(Scope3_Equations.VEERG_15_12_1_1__1_UpstreamPurchasedElectricityLocationBased_Arguments(),3,4)</f>
        <v>kWh</v>
      </c>
      <c r="H544" s="249" t="str">
        <v>Input</v>
      </c>
      <c r="I544" s="122">
        <f>X_Cell_Electricity_Location_AmountPurchasedInkWh</f>
        <v>30000</v>
      </c>
      <c r="J544" s="123"/>
    </row>
    <row r="545" spans="1:41" ht="20.100000000000001" customHeight="1" x14ac:dyDescent="0.2">
      <c r="D545" s="113" t="str">
        <v>EF_3elec</v>
      </c>
      <c r="E545" s="113" t="str">
        <v>scope 3 emission factor for purchased electricity</v>
      </c>
      <c r="F545" s="113"/>
      <c r="G545" s="113" t="str">
        <v>kg CO2e/kWh</v>
      </c>
      <c r="H545" s="115" t="str">
        <v>Constant</v>
      </c>
      <c r="I545" s="122" cm="1">
        <f t="array" ref="I545">Common_InputFunctions.Utility_LookupValueInTableNumber(I546,Table_SourceData_ElectricityEFs[State, Territory or grid description],Table_SourceData_ElectricityEFs[Scope 3 Emission Factors (kg CO2-e/kWh)])</f>
        <v>0.09</v>
      </c>
      <c r="J545" s="123"/>
    </row>
    <row r="546" spans="1:41" ht="20.100000000000001" customHeight="1" x14ac:dyDescent="0.2">
      <c r="D546" s="113" t="str">
        <v>g</v>
      </c>
      <c r="E546" s="122" t="str">
        <v>grid electricity was purchased from</v>
      </c>
      <c r="F546" s="123"/>
      <c r="G546" s="113" t="str">
        <v/>
      </c>
      <c r="H546" s="249" t="str">
        <v>Input</v>
      </c>
      <c r="I546" s="122" t="str">
        <f>X_Cell_Electricity_Location_GridElectricityPurchasedFrom</f>
        <v>Western Australia - North Western Interconnected System (NWIS)</v>
      </c>
      <c r="J546" s="123"/>
    </row>
    <row r="548" spans="1:41" ht="20.100000000000001" customHeight="1" x14ac:dyDescent="0.2">
      <c r="A548" s="79" t="str">
        <f>HYPERLINK("#A1", "▲ Back to top")</f>
        <v>▲ Back to top</v>
      </c>
      <c r="D548" s="253" t="s">
        <v>1148</v>
      </c>
      <c r="E548" s="86" cm="1">
        <f t="array" ref="E548">Scope3_Equations.VEERG_15_12_1_1__1_UpstreamPurchasedElectricityLocationBased(I544,I545)</f>
        <v>2.7</v>
      </c>
      <c r="F548" s="95" t="str">
        <f>$E$170</f>
        <v>t CO2e</v>
      </c>
    </row>
    <row r="551" spans="1:41" ht="20.100000000000001" customHeight="1" x14ac:dyDescent="0.2">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row>
    <row r="552" spans="1:41" ht="20.100000000000001" customHeight="1" x14ac:dyDescent="0.2">
      <c r="D552" s="2" t="str" cm="1">
        <f t="array" ref="D552">Scope3_Equations.VEERG_15_12_1_2__1_UpstreamPurchasedElectricityMarketBased_Title()</f>
        <v>Scope 3 emissions from purchased electricity market based</v>
      </c>
    </row>
    <row r="553" spans="1:41" ht="20.100000000000001" customHeight="1" x14ac:dyDescent="0.2">
      <c r="D553" s="17" t="str" cm="1">
        <f t="array" ref="D553">Scope3_Equations.VEERG_15_12_1_2__1_UpstreamPurchasedElectricityMarketBased_Source()</f>
        <v>VEERG 2026: 15.12.1.2, Equation (1)</v>
      </c>
    </row>
    <row r="554" spans="1:41" ht="20.100000000000001" customHeight="1" x14ac:dyDescent="0.2">
      <c r="D554" s="25"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1:41" ht="20.100000000000001" customHeight="1" x14ac:dyDescent="0.2">
      <c r="D555" s="112" t="s">
        <v>328</v>
      </c>
      <c r="E555" s="112" t="str">
        <f ca="1">Common_InputFunctions.Utility_DisplayFunctionName(VEERG_15_12_1_2__1_UpstreamPurchasedElectricityMarketBasedVariation_Result)</f>
        <v>=Scope3_Equations.VEERG_15_12_1_2__1_UpstreamPurchasedElectricityMarketBasedVariation</v>
      </c>
    </row>
    <row r="559" spans="1:41" ht="20.100000000000001" customHeight="1" x14ac:dyDescent="0.2">
      <c r="D559" s="75" t="s">
        <v>329</v>
      </c>
      <c r="E559" s="1" t="str" cm="1">
        <f t="array" ref="E559">Scope3_Equations.VEERG_15_12_1_2__1_UpstreamPurchasedElectricityMarketBased_Variable()</f>
        <v>E_3elec</v>
      </c>
    </row>
    <row r="560" spans="1:41" ht="20.100000000000001" customHeight="1" x14ac:dyDescent="0.2">
      <c r="D560" s="75" t="s">
        <v>118</v>
      </c>
      <c r="E560" s="1" t="str" cm="1">
        <f t="array" ref="E560">Scope3_Equations.VEERG_15_12_1_2__1_UpstreamPurchasedElectricityMarketBased_Unit()</f>
        <v>t CO2e</v>
      </c>
    </row>
    <row r="562" spans="3:41" ht="20.100000000000001" customHeight="1" x14ac:dyDescent="0.2">
      <c r="D562" s="113" t="str" cm="1">
        <f t="array" ref="D562:E568">_xlfn.CHOOSECOLS(Scope3_Equations.VEERG_15_12_1_2__1_UpstreamPurchasedElectricityMarketBased_Arguments(),1,2)</f>
        <v>Q_elec</v>
      </c>
      <c r="E562" s="122" t="str">
        <v>amount of electricity purchased from the grid</v>
      </c>
      <c r="F562" s="123"/>
      <c r="G562" s="113" t="str" cm="1">
        <f t="array" ref="G562:H568">_xlfn.CHOOSECOLS(Scope3_Equations.VEERG_15_12_1_2__1_UpstreamPurchasedElectricityMarketBased_Arguments(),3,4)</f>
        <v>kWh</v>
      </c>
      <c r="H562" s="249" t="str">
        <v>Input</v>
      </c>
      <c r="I562" s="254">
        <f>X_Cell_Electricity_Market_AmountPurchasedExcludingGreenPower</f>
        <v>30000</v>
      </c>
    </row>
    <row r="563" spans="3:41" ht="20.100000000000001" customHeight="1" x14ac:dyDescent="0.2">
      <c r="D563" s="113" t="str">
        <v>RPP</v>
      </c>
      <c r="E563" s="122" t="str">
        <v>renewable power percentage under LRET for the applicable period</v>
      </c>
      <c r="F563" s="123"/>
      <c r="G563" s="113" t="str">
        <v>fraction</v>
      </c>
      <c r="H563" s="249" t="str">
        <v>Input</v>
      </c>
      <c r="I563" s="146">
        <f>X_Cell_Electricity_Market_RenewablePowerPercentage</f>
        <v>0.1</v>
      </c>
    </row>
    <row r="564" spans="3:41" ht="20.100000000000001" customHeight="1" x14ac:dyDescent="0.2">
      <c r="D564" s="113" t="str">
        <v>JRPP</v>
      </c>
      <c r="E564" s="122" t="str">
        <v>jurisdictional renewable power percentage for the applicable period</v>
      </c>
      <c r="F564" s="123"/>
      <c r="G564" s="113" t="str">
        <v>fraction</v>
      </c>
      <c r="H564" s="249" t="str">
        <v>Input</v>
      </c>
      <c r="I564" s="146">
        <f>X_Cell_Electricity_Market_JurisdictionalRenewablePowerPercentage</f>
        <v>0.1</v>
      </c>
    </row>
    <row r="565" spans="3:41" ht="20.100000000000001" customHeight="1" x14ac:dyDescent="0.2">
      <c r="D565" s="113" t="str">
        <v>REC_surrendered</v>
      </c>
      <c r="E565" s="122" t="str">
        <v>eligible renewable energy certificates voluntarily surrendered</v>
      </c>
      <c r="F565" s="123"/>
      <c r="G565" s="113" t="str">
        <v>MWh</v>
      </c>
      <c r="H565" s="249" t="str">
        <v>Input</v>
      </c>
      <c r="I565" s="113">
        <f>(X_Cell_Electricity_Market_AmountPurchasedGreenPower*10^-3)+X_Cell_TotalElegibleVoluntarilySurrenderedRECs</f>
        <v>15</v>
      </c>
    </row>
    <row r="566" spans="3:41" ht="20.100000000000001" customHeight="1" x14ac:dyDescent="0.2">
      <c r="D566" s="113" t="str">
        <v>REC_onsite</v>
      </c>
      <c r="E566" s="122" t="str">
        <v>eligible renewable energy certificates issued for onsite generated electricity</v>
      </c>
      <c r="F566" s="123"/>
      <c r="G566" s="113" t="str">
        <v>MWh</v>
      </c>
      <c r="H566" s="249" t="str">
        <v>Input</v>
      </c>
      <c r="I566" s="113">
        <f>X_Cell_TotalElegibleRECsForElectricityProducedOnSite</f>
        <v>0</v>
      </c>
    </row>
    <row r="567" spans="3:41" ht="20.100000000000001" customHeight="1" x14ac:dyDescent="0.2">
      <c r="D567" s="113" t="str">
        <v>EF_RMF3elec</v>
      </c>
      <c r="E567" s="122" t="str">
        <v>scope 3 residual mix emission factor for electricity</v>
      </c>
      <c r="F567" s="123"/>
      <c r="G567" s="113" t="str">
        <v>kg CO2e/kWh</v>
      </c>
      <c r="H567" s="115" t="str">
        <v>Constant</v>
      </c>
      <c r="I567" s="113" cm="1">
        <f t="array" ref="I567">Table_SourceData_ElectricityEFsMarketBased[Scope 3 EF (kg CO2-e/kWh)]</f>
        <v>0.1</v>
      </c>
    </row>
    <row r="568" spans="3:41" ht="20.100000000000001" customHeight="1" x14ac:dyDescent="0.2">
      <c r="D568" s="113" t="str">
        <v>i</v>
      </c>
      <c r="E568" s="122" t="str">
        <v>state</v>
      </c>
      <c r="F568" s="123"/>
      <c r="G568" s="113" t="str">
        <v/>
      </c>
      <c r="H568" s="249" t="str">
        <v>Input</v>
      </c>
      <c r="I568" s="113" t="str">
        <f>X_Cell_Site_State</f>
        <v>Western Australia</v>
      </c>
    </row>
    <row r="570" spans="3:41" ht="20.100000000000001" customHeight="1" x14ac:dyDescent="0.2">
      <c r="D570" s="253" t="s">
        <v>1148</v>
      </c>
      <c r="E570" s="86" cm="1">
        <f t="array" ref="E570">Scope3_Equations.VEERG_15_12_1_2__1_UpstreamPurchasedElectricityMarketBasedVariation(I562,I563,I564,I565,I566,I567)</f>
        <v>0.9</v>
      </c>
      <c r="F570" s="95" t="str">
        <f>$E$170</f>
        <v>t CO2e</v>
      </c>
    </row>
    <row r="573" spans="3:41" ht="20.100000000000001" customHeight="1" x14ac:dyDescent="0.2">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row>
    <row r="574" spans="3:41" ht="20.100000000000001" customHeight="1" x14ac:dyDescent="0.2">
      <c r="D574" s="2" t="str" cm="1">
        <f t="array" ref="D574">Scope3_Equations.VEERG_15_13_1_1__1_EmissionsFromManureSentOffSite_Title()</f>
        <v>Emissions from manure sent off site applied to soils in another farming system or enterprise</v>
      </c>
    </row>
    <row r="575" spans="3:41" ht="20.100000000000001" customHeight="1" x14ac:dyDescent="0.2">
      <c r="D575" s="17" t="str" cm="1">
        <f t="array" ref="D575">Scope3_Equations.VEERG_15_13_1_1__1_EmissionsFromManureSentOffSite_Source()</f>
        <v>VEERG 2026: 15.13.1.1, Equation (1)</v>
      </c>
    </row>
    <row r="576" spans="3:41" ht="20.100000000000001" customHeight="1" x14ac:dyDescent="0.2">
      <c r="D576" s="112" t="s">
        <v>328</v>
      </c>
      <c r="E576" s="112" t="str" cm="1">
        <f t="array" aca="1" ref="E576" ca="1">Common_InputFunctions.Utility_DisplayFunctionName(E588)</f>
        <v>=Scope3_Equations.VEERG_15_13_1_1__1_EmissionsFromManureSentOffSite</v>
      </c>
    </row>
    <row r="578" spans="1:18" ht="20.100000000000001" customHeight="1" x14ac:dyDescent="0.2">
      <c r="A578" s="79" t="str">
        <f>HYPERLINK("#A1", "▲ Back to top")</f>
        <v>▲ Back to top</v>
      </c>
    </row>
    <row r="579" spans="1:18" ht="20.100000000000001" customHeight="1" x14ac:dyDescent="0.2">
      <c r="D579" s="75" t="s">
        <v>329</v>
      </c>
      <c r="E579" s="1" t="str" cm="1">
        <f t="array" ref="E579">Scope3_Equations.VEERG_15_13_1_1__1_EmissionsFromManureSentOffSite_Variable()</f>
        <v>E</v>
      </c>
    </row>
    <row r="580" spans="1:18" ht="20.100000000000001" customHeight="1" x14ac:dyDescent="0.2">
      <c r="D580" s="75" t="s">
        <v>118</v>
      </c>
      <c r="E580" s="9" t="str" cm="1">
        <f t="array" ref="E580">Scope3_Equations.VEERG_15_13_1_1__1_EmissionsFromManureSentOffSite_Unit()</f>
        <v>t N2O</v>
      </c>
    </row>
    <row r="582" spans="1:18" ht="20.100000000000001" customHeight="1" x14ac:dyDescent="0.2">
      <c r="D582" s="24" t="s">
        <v>130</v>
      </c>
      <c r="L582" s="24" t="s">
        <v>131</v>
      </c>
    </row>
    <row r="584" spans="1:18" ht="20.100000000000001" customHeight="1" x14ac:dyDescent="0.2">
      <c r="D584" s="113" t="str" cm="1">
        <f t="array" ref="D584:E586">_xlfn.CHOOSECOLS(Scope3_Equations.VEERG_15_13_1_1__1_EmissionsFromManureSentOffSite_Arguments(),1,2)</f>
        <v>E_N2O</v>
      </c>
      <c r="E584" s="122" t="str">
        <v>direct nitrous oxide emissions from application of manure to soils outside of scope 1 boundary</v>
      </c>
      <c r="F584" s="136"/>
      <c r="G584" s="123"/>
      <c r="H584" s="113" t="str" cm="1">
        <f t="array" ref="H584:I586">_xlfn.CHOOSECOLS(Scope3_Equations.VEERG_15_13_1_1__1_EmissionsFromManureSentOffSite_Arguments(),3,4)</f>
        <v>t N2O</v>
      </c>
      <c r="I584" s="115" t="str">
        <v>Calculated</v>
      </c>
      <c r="J584" s="113">
        <f>IFERROR(VEERG_5_2_1_1__1_OrganicFertiliserApplicationN2OEmissions_Result_Method1, 0)</f>
        <v>7.8571428571428577E-3</v>
      </c>
      <c r="L584" s="113" t="str" cm="1">
        <f t="array" ref="L584:M586">_xlfn.CHOOSECOLS(Scope3_Equations.VEERG_15_13_1_1__1_EmissionsFromManureSentOffSite_Arguments(),1,2)</f>
        <v>E_N2O</v>
      </c>
      <c r="M584" s="122" t="str">
        <v>direct nitrous oxide emissions from application of manure to soils outside of scope 1 boundary</v>
      </c>
      <c r="N584" s="136"/>
      <c r="O584" s="123"/>
      <c r="P584" s="113" t="str" cm="1">
        <f t="array" ref="P584:Q586">_xlfn.CHOOSECOLS(Scope3_Equations.VEERG_15_13_1_1__1_EmissionsFromManureSentOffSite_Arguments(),3,4)</f>
        <v>t N2O</v>
      </c>
      <c r="Q584" s="115" t="str">
        <v>Calculated</v>
      </c>
      <c r="R584" s="113">
        <f>IFERROR(VEERG_5_2_1_1__1_OrganicFertiliserApplicationN2OEmissions_Result_Method2, 0)</f>
        <v>1.5714285714285715E-2</v>
      </c>
    </row>
    <row r="585" spans="1:18" ht="20.100000000000001" customHeight="1" x14ac:dyDescent="0.2">
      <c r="D585" s="113" t="str">
        <v>E_ad</v>
      </c>
      <c r="E585" s="122" t="str">
        <v>nitrous oxide emissions from atmospheric deposition of manure to soils</v>
      </c>
      <c r="F585" s="136"/>
      <c r="G585" s="123"/>
      <c r="H585" s="113" t="str">
        <v>t N2O</v>
      </c>
      <c r="I585" s="115" t="str">
        <v>Calculated</v>
      </c>
      <c r="J585" s="113">
        <f>IFERROR(VEERG_5_4_1_3__1_OrganicFertiliserAtmosphericDepositionN2OEmissions_Result_Method1, 0)</f>
        <v>1.6401E-3</v>
      </c>
      <c r="L585" s="113" t="str">
        <v>E_ad</v>
      </c>
      <c r="M585" s="122" t="str">
        <v>nitrous oxide emissions from atmospheric deposition of manure to soils</v>
      </c>
      <c r="N585" s="136"/>
      <c r="O585" s="123"/>
      <c r="P585" s="113" t="str">
        <v>t N2O</v>
      </c>
      <c r="Q585" s="115" t="str">
        <v>Calculated</v>
      </c>
      <c r="R585" s="113">
        <f>IFERROR(VEERG_5_4_1_3__1_OrganicFertiliserAtmosphericDepositionN2OEmissions_Result_Method2, 0)</f>
        <v>4.62E-3</v>
      </c>
    </row>
    <row r="586" spans="1:18" ht="20.100000000000001" customHeight="1" x14ac:dyDescent="0.2">
      <c r="D586" s="113" t="str">
        <v>E_leach</v>
      </c>
      <c r="E586" s="122" t="str">
        <v>nitrous oxide emissions from nitrogen leaching and runoff of manure to soils</v>
      </c>
      <c r="F586" s="136"/>
      <c r="G586" s="123"/>
      <c r="H586" s="113" t="str">
        <v>t N2O</v>
      </c>
      <c r="I586" s="115" t="str">
        <v>Calculated</v>
      </c>
      <c r="J586" s="113">
        <f>IFERROR(VEERG_5_5_1_1__1_FertiliserLeachingAndRunoffN2OEmissions_Result_Method1, 0)</f>
        <v>0</v>
      </c>
      <c r="L586" s="113" t="str">
        <v>E_leach</v>
      </c>
      <c r="M586" s="122" t="str">
        <v>nitrous oxide emissions from nitrogen leaching and runoff of manure to soils</v>
      </c>
      <c r="N586" s="136"/>
      <c r="O586" s="123"/>
      <c r="P586" s="113" t="str">
        <v>t N2O</v>
      </c>
      <c r="Q586" s="115" t="str">
        <v>Calculated</v>
      </c>
      <c r="R586" s="113">
        <f>IFERROR(VEERG_5_5_1_1__1_FertiliserLeachingAndRunoffN2OEmissions_Result_Method2, 0)</f>
        <v>8.2971428571428554E-3</v>
      </c>
    </row>
    <row r="588" spans="1:18" ht="20.100000000000001" customHeight="1" x14ac:dyDescent="0.2">
      <c r="D588" s="253" t="s">
        <v>1148</v>
      </c>
      <c r="E588" s="86" cm="1">
        <f t="array" ref="E588">Scope3_Equations.VEERG_15_13_1_1__1_EmissionsFromManureSentOffSite(J584,J585,J586)</f>
        <v>9.4972428571428579E-3</v>
      </c>
      <c r="F588" s="95" t="str">
        <f>$E$580</f>
        <v>t N2O</v>
      </c>
      <c r="L588" s="253" t="s">
        <v>1148</v>
      </c>
      <c r="M588" s="86" cm="1">
        <f t="array" ref="M588">Scope3_Equations.VEERG_15_13_1_1__1_EmissionsFromManureSentOffSite(R584,R585,R586)</f>
        <v>2.8631428571428572E-2</v>
      </c>
      <c r="N588" s="95" t="str">
        <f>$E$580</f>
        <v>t N2O</v>
      </c>
    </row>
    <row r="590" spans="1:18" ht="20.100000000000001" customHeight="1" x14ac:dyDescent="0.2">
      <c r="D590" s="126" t="str" cm="1">
        <f t="array" ref="D590:E591">Common_Equations.Common_ConvertN2OToCO2e_Arguments()</f>
        <v>EN2O</v>
      </c>
      <c r="E590" s="129" t="str">
        <v>Nitrous oxide emissions (t N2O)</v>
      </c>
      <c r="F590" s="130"/>
      <c r="G590" s="15">
        <f>E588</f>
        <v>9.4972428571428579E-3</v>
      </c>
      <c r="L590" s="126" t="str" cm="1">
        <f t="array" ref="L590:M591">Common_Equations.Common_ConvertN2OToCO2e_Arguments()</f>
        <v>EN2O</v>
      </c>
      <c r="M590" s="129" t="str">
        <v>Nitrous oxide emissions (t N2O)</v>
      </c>
      <c r="N590" s="130"/>
      <c r="O590" s="15">
        <f>M588</f>
        <v>2.8631428571428572E-2</v>
      </c>
    </row>
    <row r="591" spans="1:18" ht="20.100000000000001" customHeight="1" x14ac:dyDescent="0.2">
      <c r="D591" s="126" t="str">
        <v>GWPN2O</v>
      </c>
      <c r="E591" s="129" t="str">
        <v>Global warming potential for nitrous oxide (t CO2-e / t N2O)</v>
      </c>
      <c r="F591" s="130"/>
      <c r="G591" s="15">
        <f>Common_InputFunctions.Utility_LookupValueInTableNumber("N2O",Table_GWPData[Gas],Table_GWPData[CO2-e factor])</f>
        <v>265</v>
      </c>
      <c r="L591" s="126" t="str">
        <v>GWPN2O</v>
      </c>
      <c r="M591" s="129" t="str">
        <v>Global warming potential for nitrous oxide (t CO2-e / t N2O)</v>
      </c>
      <c r="N591" s="130"/>
      <c r="O591" s="15">
        <f>Common_InputFunctions.Utility_LookupValueInTableNumber("N2O",Table_GWPData[Gas],Table_GWPData[CO2-e factor])</f>
        <v>265</v>
      </c>
    </row>
    <row r="593" spans="1:41" ht="20.100000000000001" customHeight="1" x14ac:dyDescent="0.2">
      <c r="D593" s="83" t="s">
        <v>377</v>
      </c>
      <c r="E593" s="83" cm="1">
        <f t="array" ref="E593">Common_Equations.Common_ConvertN2OToCO2e(G590,G591)</f>
        <v>2.5167693571428575</v>
      </c>
      <c r="F593" s="89" t="str" cm="1">
        <f t="array" ref="F593">Common_Equations.Common_ConvertN2OToCO2e_Unit()</f>
        <v>t CO2e</v>
      </c>
      <c r="L593" s="83" t="s">
        <v>377</v>
      </c>
      <c r="M593" s="83" cm="1">
        <f t="array" ref="M593">Common_Equations.Common_ConvertN2OToCO2e(O590,O591)</f>
        <v>7.5873285714285714</v>
      </c>
      <c r="N593" s="89" t="str" cm="1">
        <f t="array" ref="N593">Common_Equations.Common_ConvertN2OToCO2e_Unit()</f>
        <v>t CO2e</v>
      </c>
    </row>
    <row r="596" spans="1:41" ht="20.100000000000001" customHeight="1" x14ac:dyDescent="0.2">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row>
    <row r="597" spans="1:41" ht="20.100000000000001" customHeight="1" x14ac:dyDescent="0.2">
      <c r="D597" s="2" t="str" cm="1">
        <f t="array" ref="D597">Scope3_Equations.VEERG_15_13_1_3__1_EmissionsFromSolidWasteTreatmentFacility_Title()</f>
        <v>Emissions from solid waste sent to a treatment facility</v>
      </c>
    </row>
    <row r="598" spans="1:41" ht="20.100000000000001" customHeight="1" x14ac:dyDescent="0.2">
      <c r="D598" s="17" t="str" cm="1">
        <f t="array" ref="D598">Scope3_Equations.VEERG_15_13_1_3__1_EmissionsFromSolidWasteTreatmentFacility_Source()</f>
        <v>VEERG 2026: 15.13.1.3</v>
      </c>
    </row>
    <row r="600" spans="1:41" ht="20.100000000000001" customHeight="1" x14ac:dyDescent="0.2">
      <c r="D600" s="75" t="s">
        <v>329</v>
      </c>
      <c r="E600" s="1" t="str" cm="1">
        <f t="array" ref="E600">Scope3_Equations.VEERG_15_13_1_3__1_EmissionsFromSolidWasteTreatmentFacility_Variable()</f>
        <v>E</v>
      </c>
    </row>
    <row r="601" spans="1:41" ht="20.100000000000001" customHeight="1" x14ac:dyDescent="0.2">
      <c r="D601" s="75" t="s">
        <v>118</v>
      </c>
      <c r="E601" s="9" t="str" cm="1">
        <f t="array" ref="E601">Scope3_Equations.VEERG_15_13_1_3__1_EmissionsFromSolidWasteTreatmentFacility_Unit()</f>
        <v>t CO2e</v>
      </c>
    </row>
    <row r="603" spans="1:41" ht="20.100000000000001" customHeight="1" x14ac:dyDescent="0.2">
      <c r="D603" s="253" t="s">
        <v>1148</v>
      </c>
      <c r="E603" s="86">
        <f>VEERG_10_1_1_1__1_EmissionsFromWasteManagement_Scope3_Result_Method1</f>
        <v>441.15000000000003</v>
      </c>
      <c r="F603" s="95" t="str">
        <f>E601</f>
        <v>t CO2e</v>
      </c>
    </row>
    <row r="606" spans="1:41" ht="20.100000000000001" customHeight="1" x14ac:dyDescent="0.2">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row>
    <row r="607" spans="1:41" ht="20.100000000000001" customHeight="1" x14ac:dyDescent="0.2">
      <c r="D607" s="2" t="str" cm="1">
        <f t="array" ref="D607">Scope3_Equations.VEERG_15_14_1_1__1_EmbeddedEmissionsFromUpstreamFreight_Title()</f>
        <v>Embedded emissions from upstream freight</v>
      </c>
    </row>
    <row r="608" spans="1:41" ht="20.100000000000001" customHeight="1" x14ac:dyDescent="0.2">
      <c r="A608" s="79" t="str">
        <f>HYPERLINK("#A1", "▲ Back to top")</f>
        <v>▲ Back to top</v>
      </c>
      <c r="D608" s="17" t="str" cm="1">
        <f t="array" ref="D608">Scope3_Equations.VEERG_15_14_1_1__1_EmbeddedEmissionsFromUpstreamFreight_Source()</f>
        <v>VEERG 2026: 15.14.1.1, Equation (1)</v>
      </c>
    </row>
    <row r="609" spans="4:13" ht="20.100000000000001" customHeight="1" x14ac:dyDescent="0.2">
      <c r="D609" s="112" t="s">
        <v>328</v>
      </c>
      <c r="E609" s="112" t="str" cm="1">
        <f t="array" aca="1" ref="E609" ca="1">Common_InputFunctions.Utility_DisplayFunctionName(J624)</f>
        <v>=Scope3_Equations.VEERG_15_14_1_1__1_EmbeddedEmissionsFromUpstreamFreight</v>
      </c>
    </row>
    <row r="613" spans="4:13" ht="20.100000000000001" customHeight="1" x14ac:dyDescent="0.2">
      <c r="D613" s="75" t="s">
        <v>329</v>
      </c>
      <c r="E613" s="1" t="str" cm="1">
        <f t="array" ref="E613">Scope3_Equations.VEERG_15_14_1_1__1_EmbeddedEmissionsFromUpstreamFreight_Variable()</f>
        <v>E</v>
      </c>
    </row>
    <row r="614" spans="4:13" ht="20.100000000000001" customHeight="1" x14ac:dyDescent="0.2">
      <c r="D614" s="75" t="s">
        <v>118</v>
      </c>
      <c r="E614" s="9" t="str" cm="1">
        <f t="array" ref="E614">Scope3_Equations.VEERG_15_14_1_1__1_EmbeddedEmissionsFromUpstreamFreight_Unit()</f>
        <v>t CO2e</v>
      </c>
    </row>
    <row r="616" spans="4:13" ht="20.100000000000001" customHeight="1" x14ac:dyDescent="0.2">
      <c r="D616" s="113" t="str" cm="1">
        <f t="array" ref="D616:E619">_xlfn.CHOOSECOLS(Scope3_Equations.VEERG_15_14_1_1__1_EmbeddedEmissionsFromUpstreamFreight_Arguments(),1,2)</f>
        <v>W_f</v>
      </c>
      <c r="E616" s="122" t="str">
        <v>total mass of goods transported per freight type f</v>
      </c>
      <c r="F616" s="123"/>
      <c r="G616" s="113" t="str" cm="1">
        <f t="array" ref="G616:H619">_xlfn.CHOOSECOLS(Scope3_Equations.VEERG_15_14_1_1__1_EmbeddedEmissionsFromUpstreamFreight_Arguments(),3,4)</f>
        <v>t</v>
      </c>
      <c r="H616" s="249" t="str">
        <v>Input</v>
      </c>
    </row>
    <row r="617" spans="4:13" ht="20.100000000000001" customHeight="1" x14ac:dyDescent="0.2">
      <c r="D617" s="113" t="str">
        <v>D_f</v>
      </c>
      <c r="E617" s="122" t="str">
        <v>total distance transported per freight type f</v>
      </c>
      <c r="F617" s="123"/>
      <c r="G617" s="113" t="str">
        <v>km</v>
      </c>
      <c r="H617" s="249" t="str">
        <v>Input</v>
      </c>
    </row>
    <row r="618" spans="4:13" ht="20.100000000000001" customHeight="1" x14ac:dyDescent="0.2">
      <c r="D618" s="113" t="str">
        <v>EF_f</v>
      </c>
      <c r="E618" s="122" t="str">
        <v>emission factor for freight type f</v>
      </c>
      <c r="F618" s="123"/>
      <c r="G618" s="113" t="str">
        <v>t CO2e/(t km)</v>
      </c>
      <c r="H618" s="115" t="str">
        <v>Constant</v>
      </c>
    </row>
    <row r="619" spans="4:13" ht="20.100000000000001" customHeight="1" x14ac:dyDescent="0.2">
      <c r="D619" s="113" t="str">
        <v>f</v>
      </c>
      <c r="E619" s="122" t="str">
        <v>freight type</v>
      </c>
      <c r="F619" s="123"/>
      <c r="G619" s="113" t="str">
        <v/>
      </c>
      <c r="H619" s="249" t="str">
        <v>Input</v>
      </c>
    </row>
    <row r="621" spans="4:13" ht="20.100000000000001" customHeight="1" x14ac:dyDescent="0.2">
      <c r="D621" s="244" t="s">
        <v>1012</v>
      </c>
    </row>
    <row r="623" spans="4:13" ht="20.100000000000001" customHeight="1" x14ac:dyDescent="0.2">
      <c r="D623" s="78" t="s">
        <v>1149</v>
      </c>
      <c r="E623" s="78" t="s">
        <v>1150</v>
      </c>
      <c r="F623" s="78" t="s">
        <v>1151</v>
      </c>
      <c r="G623" s="120" t="s">
        <v>1152</v>
      </c>
      <c r="H623" s="120" t="s">
        <v>1041</v>
      </c>
      <c r="I623" s="78" t="s">
        <v>1090</v>
      </c>
      <c r="J623" s="120" t="s">
        <v>1044</v>
      </c>
      <c r="K623" s="78" t="s">
        <v>1045</v>
      </c>
      <c r="L623" s="78" t="s">
        <v>1046</v>
      </c>
      <c r="M623" s="78" t="s">
        <v>1047</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352</v>
      </c>
      <c r="H624" s="15" t="s">
        <v>352</v>
      </c>
      <c r="I624" s="74">
        <v>0.01</v>
      </c>
      <c r="J624" s="15" cm="1">
        <f t="array" ref="J624">Scope3_Equations.VEERG_15_14_1_1__1_EmbeddedEmissionsFromUpstreamFreight(E624,F624,I624)</f>
        <v>5127.2</v>
      </c>
      <c r="K624" s="33"/>
      <c r="L624" s="13"/>
      <c r="M624" s="33"/>
    </row>
    <row r="625" spans="1:13" ht="20.100000000000001" customHeight="1" x14ac:dyDescent="0.2">
      <c r="D625" s="15" t="str">
        <v>Fertiliser supplier to farm</v>
      </c>
      <c r="E625" s="15">
        <v>10</v>
      </c>
      <c r="F625" s="15">
        <v>390</v>
      </c>
      <c r="G625" s="15" t="s">
        <v>352</v>
      </c>
      <c r="H625" s="15" t="s">
        <v>352</v>
      </c>
      <c r="I625" s="74">
        <v>0.01</v>
      </c>
      <c r="J625" s="15" cm="1">
        <f t="array" ref="J625">Scope3_Equations.VEERG_15_14_1_1__1_EmbeddedEmissionsFromUpstreamFreight(E625,F625,I625)</f>
        <v>39</v>
      </c>
      <c r="K625" s="33"/>
      <c r="L625" s="13"/>
      <c r="M625" s="33"/>
    </row>
    <row r="626" spans="1:13" ht="20.100000000000001" customHeight="1" x14ac:dyDescent="0.2">
      <c r="D626" s="15">
        <v>0</v>
      </c>
      <c r="E626" s="15">
        <v>0</v>
      </c>
      <c r="F626" s="15">
        <v>0</v>
      </c>
      <c r="G626" s="15" t="s">
        <v>352</v>
      </c>
      <c r="H626" s="15" t="s">
        <v>352</v>
      </c>
      <c r="I626" s="74"/>
      <c r="J626" s="15" cm="1">
        <f t="array" ref="J626">Scope3_Equations.VEERG_15_14_1_1__1_EmbeddedEmissionsFromUpstreamFreight(E626,F626,I626)</f>
        <v>0</v>
      </c>
      <c r="K626" s="33"/>
      <c r="L626" s="13"/>
      <c r="M626" s="33"/>
    </row>
    <row r="627" spans="1:13" ht="20.100000000000001" customHeight="1" x14ac:dyDescent="0.2">
      <c r="D627" s="15">
        <v>0</v>
      </c>
      <c r="E627" s="15">
        <v>0</v>
      </c>
      <c r="F627" s="15">
        <v>0</v>
      </c>
      <c r="G627" s="15" t="s">
        <v>352</v>
      </c>
      <c r="H627" s="15" t="s">
        <v>352</v>
      </c>
      <c r="I627" s="74"/>
      <c r="J627" s="15" cm="1">
        <f t="array" ref="J627">Scope3_Equations.VEERG_15_14_1_1__1_EmbeddedEmissionsFromUpstreamFreight(E627,F627,I627)</f>
        <v>0</v>
      </c>
      <c r="K627" s="33"/>
      <c r="L627" s="13"/>
      <c r="M627" s="33"/>
    </row>
    <row r="628" spans="1:13" ht="20.100000000000001" customHeight="1" x14ac:dyDescent="0.2">
      <c r="D628" s="15">
        <v>0</v>
      </c>
      <c r="E628" s="15">
        <v>0</v>
      </c>
      <c r="F628" s="15">
        <v>0</v>
      </c>
      <c r="G628" s="15" t="s">
        <v>352</v>
      </c>
      <c r="H628" s="15" t="s">
        <v>352</v>
      </c>
      <c r="I628" s="74"/>
      <c r="J628" s="15" cm="1">
        <f t="array" ref="J628">Scope3_Equations.VEERG_15_14_1_1__1_EmbeddedEmissionsFromUpstreamFreight(E628,F628,I628)</f>
        <v>0</v>
      </c>
      <c r="K628" s="33"/>
      <c r="L628" s="13"/>
      <c r="M628" s="33"/>
    </row>
    <row r="629" spans="1:13" ht="20.100000000000001" customHeight="1" x14ac:dyDescent="0.2">
      <c r="D629" s="15">
        <v>0</v>
      </c>
      <c r="E629" s="15">
        <v>0</v>
      </c>
      <c r="F629" s="15">
        <v>0</v>
      </c>
      <c r="G629" s="15" t="s">
        <v>352</v>
      </c>
      <c r="H629" s="15" t="s">
        <v>352</v>
      </c>
      <c r="I629" s="74"/>
      <c r="J629" s="15" cm="1">
        <f t="array" ref="J629">Scope3_Equations.VEERG_15_14_1_1__1_EmbeddedEmissionsFromUpstreamFreight(E629,F629,I629)</f>
        <v>0</v>
      </c>
      <c r="K629" s="33"/>
      <c r="L629" s="13"/>
      <c r="M629" s="33"/>
    </row>
    <row r="630" spans="1:13" ht="20.100000000000001" customHeight="1" x14ac:dyDescent="0.2">
      <c r="D630" s="15">
        <v>0</v>
      </c>
      <c r="E630" s="15">
        <v>0</v>
      </c>
      <c r="F630" s="15">
        <v>0</v>
      </c>
      <c r="G630" s="15" t="s">
        <v>352</v>
      </c>
      <c r="H630" s="15" t="s">
        <v>352</v>
      </c>
      <c r="I630" s="74"/>
      <c r="J630" s="15" cm="1">
        <f t="array" ref="J630">Scope3_Equations.VEERG_15_14_1_1__1_EmbeddedEmissionsFromUpstreamFreight(E630,F630,I630)</f>
        <v>0</v>
      </c>
      <c r="K630" s="33"/>
      <c r="L630" s="13"/>
      <c r="M630" s="33"/>
    </row>
    <row r="631" spans="1:13" ht="20.100000000000001" customHeight="1" x14ac:dyDescent="0.2">
      <c r="D631" s="15">
        <v>0</v>
      </c>
      <c r="E631" s="15">
        <v>0</v>
      </c>
      <c r="F631" s="15">
        <v>0</v>
      </c>
      <c r="G631" s="15" t="s">
        <v>352</v>
      </c>
      <c r="H631" s="15" t="s">
        <v>352</v>
      </c>
      <c r="I631" s="74"/>
      <c r="J631" s="15" cm="1">
        <f t="array" ref="J631">Scope3_Equations.VEERG_15_14_1_1__1_EmbeddedEmissionsFromUpstreamFreight(E631,F631,I631)</f>
        <v>0</v>
      </c>
      <c r="K631" s="33"/>
      <c r="L631" s="13"/>
      <c r="M631" s="33"/>
    </row>
    <row r="632" spans="1:13" ht="20.100000000000001" customHeight="1" x14ac:dyDescent="0.2">
      <c r="D632" s="15">
        <v>0</v>
      </c>
      <c r="E632" s="15">
        <v>0</v>
      </c>
      <c r="F632" s="15">
        <v>0</v>
      </c>
      <c r="G632" s="15" t="s">
        <v>352</v>
      </c>
      <c r="H632" s="15" t="s">
        <v>352</v>
      </c>
      <c r="I632" s="74"/>
      <c r="J632" s="15" cm="1">
        <f t="array" ref="J632">Scope3_Equations.VEERG_15_14_1_1__1_EmbeddedEmissionsFromUpstreamFreight(E632,F632,I632)</f>
        <v>0</v>
      </c>
      <c r="K632" s="33"/>
      <c r="L632" s="13"/>
      <c r="M632" s="33"/>
    </row>
    <row r="633" spans="1:13" ht="20.100000000000001" customHeight="1" x14ac:dyDescent="0.2">
      <c r="D633" s="15">
        <v>0</v>
      </c>
      <c r="E633" s="15">
        <v>0</v>
      </c>
      <c r="F633" s="15">
        <v>0</v>
      </c>
      <c r="G633" s="15" t="s">
        <v>352</v>
      </c>
      <c r="H633" s="15" t="s">
        <v>352</v>
      </c>
      <c r="I633" s="74"/>
      <c r="J633" s="15" cm="1">
        <f t="array" ref="J633">Scope3_Equations.VEERG_15_14_1_1__1_EmbeddedEmissionsFromUpstreamFreight(E633,F633,I633)</f>
        <v>0</v>
      </c>
      <c r="K633" s="33"/>
      <c r="L633" s="13"/>
      <c r="M633" s="33"/>
    </row>
    <row r="635" spans="1:13" ht="20.100000000000001" customHeight="1" x14ac:dyDescent="0.2">
      <c r="D635" s="88" t="s">
        <v>1153</v>
      </c>
      <c r="E635" s="83" t="s">
        <v>352</v>
      </c>
      <c r="F635" s="89" t="str">
        <f>$E$105</f>
        <v>t CO2e</v>
      </c>
    </row>
    <row r="636" spans="1:13" ht="20.100000000000001" customHeight="1" x14ac:dyDescent="0.2">
      <c r="D636" s="88" t="s">
        <v>1154</v>
      </c>
      <c r="E636" s="83">
        <f>SUM(J624:J633)</f>
        <v>5166.2</v>
      </c>
      <c r="F636" s="89" t="str">
        <f>$E$105</f>
        <v>t CO2e</v>
      </c>
    </row>
    <row r="638" spans="1:13" ht="20.100000000000001" customHeight="1" x14ac:dyDescent="0.2">
      <c r="A638" s="79" t="str">
        <f>HYPERLINK("#A1", "▲ Back to top")</f>
        <v>▲ Back to top</v>
      </c>
    </row>
    <row r="639" spans="1:13" ht="20.100000000000001" customHeight="1" x14ac:dyDescent="0.2">
      <c r="D639" s="244" t="s">
        <v>1022</v>
      </c>
    </row>
    <row r="641" spans="4:13" ht="20.100000000000001" customHeight="1" x14ac:dyDescent="0.2">
      <c r="D641" s="78" t="s">
        <v>1149</v>
      </c>
      <c r="E641" s="78" t="s">
        <v>1150</v>
      </c>
      <c r="F641" s="78" t="s">
        <v>1151</v>
      </c>
      <c r="G641" s="120" t="s">
        <v>1152</v>
      </c>
      <c r="H641" s="120" t="s">
        <v>1041</v>
      </c>
      <c r="I641" s="78" t="s">
        <v>1090</v>
      </c>
      <c r="J641" s="120" t="s">
        <v>1044</v>
      </c>
      <c r="K641" s="78" t="s">
        <v>1045</v>
      </c>
      <c r="L641" s="78" t="s">
        <v>1046</v>
      </c>
      <c r="M641" s="78" t="s">
        <v>1047</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352</v>
      </c>
      <c r="H642" s="15" t="s">
        <v>352</v>
      </c>
      <c r="I642" s="74">
        <v>0.01</v>
      </c>
      <c r="J642" s="15" cm="1">
        <f t="array" ref="J642">Scope3_Equations.VEERG_15_14_1_1__1_EmbeddedEmissionsFromUpstreamFreight(E642,F642,I642)</f>
        <v>676</v>
      </c>
      <c r="K642" s="33"/>
      <c r="L642" s="13"/>
      <c r="M642" s="33"/>
    </row>
    <row r="643" spans="4:13" ht="20.100000000000001" customHeight="1" x14ac:dyDescent="0.2">
      <c r="D643" s="15">
        <v>0</v>
      </c>
      <c r="E643" s="15">
        <v>0</v>
      </c>
      <c r="F643" s="15">
        <v>0</v>
      </c>
      <c r="G643" s="15" t="s">
        <v>352</v>
      </c>
      <c r="H643" s="15" t="s">
        <v>352</v>
      </c>
      <c r="I643" s="74"/>
      <c r="J643" s="15" cm="1">
        <f t="array" ref="J643">Scope3_Equations.VEERG_15_14_1_1__1_EmbeddedEmissionsFromUpstreamFreight(E643,F643,I643)</f>
        <v>0</v>
      </c>
      <c r="K643" s="33"/>
      <c r="L643" s="13"/>
      <c r="M643" s="33"/>
    </row>
    <row r="644" spans="4:13" ht="20.100000000000001" customHeight="1" x14ac:dyDescent="0.2">
      <c r="D644" s="15">
        <v>0</v>
      </c>
      <c r="E644" s="15">
        <v>0</v>
      </c>
      <c r="F644" s="15">
        <v>0</v>
      </c>
      <c r="G644" s="15" t="s">
        <v>352</v>
      </c>
      <c r="H644" s="15" t="s">
        <v>352</v>
      </c>
      <c r="I644" s="74"/>
      <c r="J644" s="15" cm="1">
        <f t="array" ref="J644">Scope3_Equations.VEERG_15_14_1_1__1_EmbeddedEmissionsFromUpstreamFreight(E644,F644,I644)</f>
        <v>0</v>
      </c>
      <c r="K644" s="33"/>
      <c r="L644" s="13"/>
      <c r="M644" s="33"/>
    </row>
    <row r="645" spans="4:13" ht="20.100000000000001" customHeight="1" x14ac:dyDescent="0.2">
      <c r="D645" s="15">
        <v>0</v>
      </c>
      <c r="E645" s="15">
        <v>0</v>
      </c>
      <c r="F645" s="15">
        <v>0</v>
      </c>
      <c r="G645" s="15" t="s">
        <v>352</v>
      </c>
      <c r="H645" s="15" t="s">
        <v>352</v>
      </c>
      <c r="I645" s="74"/>
      <c r="J645" s="15" cm="1">
        <f t="array" ref="J645">Scope3_Equations.VEERG_15_14_1_1__1_EmbeddedEmissionsFromUpstreamFreight(E645,F645,I645)</f>
        <v>0</v>
      </c>
      <c r="K645" s="33"/>
      <c r="L645" s="13"/>
      <c r="M645" s="33"/>
    </row>
    <row r="646" spans="4:13" ht="20.100000000000001" customHeight="1" x14ac:dyDescent="0.2">
      <c r="D646" s="15">
        <v>0</v>
      </c>
      <c r="E646" s="15">
        <v>0</v>
      </c>
      <c r="F646" s="15">
        <v>0</v>
      </c>
      <c r="G646" s="15" t="s">
        <v>352</v>
      </c>
      <c r="H646" s="15" t="s">
        <v>352</v>
      </c>
      <c r="I646" s="74"/>
      <c r="J646" s="15" cm="1">
        <f t="array" ref="J646">Scope3_Equations.VEERG_15_14_1_1__1_EmbeddedEmissionsFromUpstreamFreight(E646,F646,I646)</f>
        <v>0</v>
      </c>
      <c r="K646" s="33"/>
      <c r="L646" s="13"/>
      <c r="M646" s="33"/>
    </row>
    <row r="647" spans="4:13" ht="20.100000000000001" customHeight="1" x14ac:dyDescent="0.2">
      <c r="D647" s="15">
        <v>0</v>
      </c>
      <c r="E647" s="15">
        <v>0</v>
      </c>
      <c r="F647" s="15">
        <v>0</v>
      </c>
      <c r="G647" s="15" t="s">
        <v>352</v>
      </c>
      <c r="H647" s="15" t="s">
        <v>352</v>
      </c>
      <c r="I647" s="74"/>
      <c r="J647" s="15" cm="1">
        <f t="array" ref="J647">Scope3_Equations.VEERG_15_14_1_1__1_EmbeddedEmissionsFromUpstreamFreight(E647,F647,I647)</f>
        <v>0</v>
      </c>
      <c r="K647" s="33"/>
      <c r="L647" s="13"/>
      <c r="M647" s="33"/>
    </row>
    <row r="648" spans="4:13" ht="20.100000000000001" customHeight="1" x14ac:dyDescent="0.2">
      <c r="D648" s="15">
        <v>0</v>
      </c>
      <c r="E648" s="15">
        <v>0</v>
      </c>
      <c r="F648" s="15">
        <v>0</v>
      </c>
      <c r="G648" s="15" t="s">
        <v>352</v>
      </c>
      <c r="H648" s="15" t="s">
        <v>352</v>
      </c>
      <c r="I648" s="74"/>
      <c r="J648" s="15" cm="1">
        <f t="array" ref="J648">Scope3_Equations.VEERG_15_14_1_1__1_EmbeddedEmissionsFromUpstreamFreight(E648,F648,I648)</f>
        <v>0</v>
      </c>
      <c r="K648" s="33"/>
      <c r="L648" s="13"/>
      <c r="M648" s="33"/>
    </row>
    <row r="649" spans="4:13" ht="20.100000000000001" customHeight="1" x14ac:dyDescent="0.2">
      <c r="D649" s="15">
        <v>0</v>
      </c>
      <c r="E649" s="15">
        <v>0</v>
      </c>
      <c r="F649" s="15">
        <v>0</v>
      </c>
      <c r="G649" s="15" t="s">
        <v>352</v>
      </c>
      <c r="H649" s="15" t="s">
        <v>352</v>
      </c>
      <c r="I649" s="74"/>
      <c r="J649" s="15" cm="1">
        <f t="array" ref="J649">Scope3_Equations.VEERG_15_14_1_1__1_EmbeddedEmissionsFromUpstreamFreight(E649,F649,I649)</f>
        <v>0</v>
      </c>
      <c r="K649" s="33"/>
      <c r="L649" s="13"/>
      <c r="M649" s="33"/>
    </row>
    <row r="650" spans="4:13" ht="20.100000000000001" customHeight="1" x14ac:dyDescent="0.2">
      <c r="D650" s="15">
        <v>0</v>
      </c>
      <c r="E650" s="15">
        <v>0</v>
      </c>
      <c r="F650" s="15">
        <v>0</v>
      </c>
      <c r="G650" s="15" t="s">
        <v>352</v>
      </c>
      <c r="H650" s="15" t="s">
        <v>352</v>
      </c>
      <c r="I650" s="74"/>
      <c r="J650" s="15" cm="1">
        <f t="array" ref="J650">Scope3_Equations.VEERG_15_14_1_1__1_EmbeddedEmissionsFromUpstreamFreight(E650,F650,I650)</f>
        <v>0</v>
      </c>
      <c r="K650" s="33"/>
      <c r="L650" s="13"/>
      <c r="M650" s="33"/>
    </row>
    <row r="651" spans="4:13" ht="20.100000000000001" customHeight="1" x14ac:dyDescent="0.2">
      <c r="D651" s="15">
        <v>0</v>
      </c>
      <c r="E651" s="15">
        <v>0</v>
      </c>
      <c r="F651" s="15">
        <v>0</v>
      </c>
      <c r="G651" s="15" t="s">
        <v>352</v>
      </c>
      <c r="H651" s="15" t="s">
        <v>352</v>
      </c>
      <c r="I651" s="74"/>
      <c r="J651" s="15" cm="1">
        <f t="array" ref="J651">Scope3_Equations.VEERG_15_14_1_1__1_EmbeddedEmissionsFromUpstreamFreight(E651,F651,I651)</f>
        <v>0</v>
      </c>
      <c r="K651" s="33"/>
      <c r="L651" s="13"/>
      <c r="M651" s="33"/>
    </row>
    <row r="653" spans="4:13" ht="20.100000000000001" customHeight="1" x14ac:dyDescent="0.2">
      <c r="D653" s="88" t="s">
        <v>1155</v>
      </c>
      <c r="E653" s="83" t="s">
        <v>352</v>
      </c>
      <c r="F653" s="89" t="str">
        <f>$E$105</f>
        <v>t CO2e</v>
      </c>
    </row>
    <row r="654" spans="4:13" ht="20.100000000000001" customHeight="1" x14ac:dyDescent="0.2">
      <c r="D654" s="88" t="s">
        <v>1156</v>
      </c>
      <c r="E654" s="83">
        <f>SUM(J642:J651)</f>
        <v>676</v>
      </c>
      <c r="F654" s="89" t="str">
        <f>$E$105</f>
        <v>t CO2e</v>
      </c>
    </row>
    <row r="656" spans="4:13" ht="20.100000000000001" customHeight="1" x14ac:dyDescent="0.2">
      <c r="D656" s="85" t="s">
        <v>1041</v>
      </c>
      <c r="E656" s="86" t="s">
        <v>352</v>
      </c>
      <c r="F656" s="95" t="str">
        <f>$E$105</f>
        <v>t CO2e</v>
      </c>
    </row>
    <row r="657" spans="4:6" ht="20.100000000000001" customHeight="1" x14ac:dyDescent="0.2">
      <c r="D657" s="85" t="s">
        <v>1044</v>
      </c>
      <c r="E657" s="86">
        <f>VEERG_15_14_1_1__1_EmbeddedEmissionsFromUpstreamFreight_Incoming_Result_Method2+VEERG_15_14_1_1__1_EmbeddedEmissionsFromUpstreamFreight_Outgoing_Result_Method2</f>
        <v>5842.2</v>
      </c>
      <c r="F657" s="95" t="str">
        <f>$E$105</f>
        <v>t CO2e</v>
      </c>
    </row>
  </sheetData>
  <dataValidations count="2">
    <dataValidation type="list" allowBlank="1" showInputMessage="1" showErrorMessage="1" sqref="J505:J514" xr:uid="{9B559E95-FFF7-4C84-B9AF-6970D3444962}">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533147C7-C3BA-4A96-84E7-0317969A2095}">
      <formula1>INDIRECT("Table_SourceData_DataScores_Scope3[Data source]")</formula1>
    </dataValidation>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1D4CC-40A0-4F80-8B7C-1B59AA84358C}">
  <sheetPr>
    <tabColor theme="9" tint="-0.249977111117893"/>
  </sheetPr>
  <dimension ref="A1:U90"/>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0" t="s">
        <v>1157</v>
      </c>
      <c r="D1" s="20"/>
      <c r="E1" s="20"/>
      <c r="F1" s="20"/>
      <c r="G1" s="20"/>
      <c r="H1" s="20"/>
      <c r="I1" s="20"/>
      <c r="J1" s="20"/>
      <c r="K1" s="20"/>
      <c r="M1" s="20"/>
      <c r="N1" s="20"/>
      <c r="O1" s="20"/>
      <c r="P1" s="20"/>
      <c r="Q1" s="20"/>
      <c r="R1" s="20"/>
      <c r="S1" s="20"/>
      <c r="T1" s="20"/>
      <c r="U1" s="20"/>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
      <c r="D7" s="112" t="s">
        <v>328</v>
      </c>
      <c r="E7" s="112" t="str">
        <f ca="1">Common_InputFunctions.Utility_DisplayFunctionName(VEERG_5_2_1_1__1_OrganicFertiliserApplicationN2OEmissions_Result_Method1)</f>
        <v>=Fertiliser_Equations_OrganicN2O.VEERG_5_2_1_1__1_OrganicFertiliserApplicationN2OEmissions</v>
      </c>
      <c r="N7" s="112" t="s">
        <v>328</v>
      </c>
      <c r="O7" s="112"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Fertiliser_Equations_OrganicN2O.VEERG_5_2_1_1__1_OrganicFertiliserApplicationN2OEmissions_Variable()</f>
        <v>E_N2O</v>
      </c>
      <c r="N10" s="75" t="s">
        <v>329</v>
      </c>
      <c r="O10" s="1" t="str" cm="1">
        <f t="array" ref="O10">Fertiliser_Equations_OrganicN2O.VEERG_5_2_1_1__1_OrganicFertiliserApplicationN2OEmissions_Variable()</f>
        <v>E_N2O</v>
      </c>
    </row>
    <row r="11" spans="1:21" ht="20.100000000000001" customHeight="1" x14ac:dyDescent="0.2">
      <c r="A11" s="5" t="str">
        <f>HYPERLINK("#'Input - Poultry'!A1", "Poultry")</f>
        <v>Poultry</v>
      </c>
      <c r="D11" s="75" t="s">
        <v>118</v>
      </c>
      <c r="E11" s="9" t="str" cm="1">
        <f t="array" ref="E11">Fertiliser_Equations_OrganicN2O.VEERG_5_2_1_1__1_OrganicFertiliserApplicationN2OEmissions_Unit()</f>
        <v>t N2O</v>
      </c>
      <c r="N11" s="75" t="s">
        <v>118</v>
      </c>
      <c r="O11" s="9" t="str" cm="1">
        <f t="array" ref="O11">Fertiliser_Equations_OrganicN2O.VEERG_5_2_1_1__1_OrganicFertiliserApplicationN2OEmissions_Unit()</f>
        <v>t N2O</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17">_xlfn.CHOOSECOLS(Fertiliser_Equations_OrganicN2O.VEERG_5_2_1_1__1_OrganicFertiliserApplicationN2OEmissions_Arguments(), 1, 2)</f>
        <v>MNSoil_jf</v>
      </c>
      <c r="E13" s="122" t="str">
        <v>mass of nitrogen in organic fertiliser type f applied to production system j</v>
      </c>
      <c r="F13" s="136"/>
      <c r="G13" s="123"/>
      <c r="H13" s="113" t="str" cm="1">
        <f t="array" ref="H13:I17">_xlfn.CHOOSECOLS(Fertiliser_Equations_OrganicN2O.VEERG_5_2_1_1__1_OrganicFertiliserApplicationN2OEmissions_Arguments(), 3,4)</f>
        <v>kg N</v>
      </c>
      <c r="I13" s="115" t="str">
        <v>Calculated from 5.2.1.1 (2)</v>
      </c>
      <c r="J13" s="113">
        <f>X_Cell_ManureSentOffsite_MassNitrogenManure_Method1</f>
        <v>1000</v>
      </c>
      <c r="N13" s="113" t="str" cm="1">
        <f t="array" ref="N13:O17">_xlfn.CHOOSECOLS(Fertiliser_Equations_OrganicN2O.VEERG_5_2_1_1__1_OrganicFertiliserApplicationN2OEmissions_Arguments(), 1, 2)</f>
        <v>MNSoil_jf</v>
      </c>
      <c r="O13" s="122" t="str">
        <v>mass of nitrogen in organic fertiliser type f applied to production system j</v>
      </c>
      <c r="P13" s="136"/>
      <c r="Q13" s="123"/>
      <c r="R13" s="113" t="str" cm="1">
        <f t="array" ref="R13:S17">_xlfn.CHOOSECOLS(Fertiliser_Equations_OrganicN2O.VEERG_5_2_1_1__1_OrganicFertiliserApplicationN2OEmissions_Arguments(), 3,4)</f>
        <v>kg N</v>
      </c>
      <c r="S13" s="115" t="str">
        <v>Calculated from 5.2.1.1 (2)</v>
      </c>
      <c r="T13" s="113">
        <f>X_Cell_ManureSentOffsite_MassNitrogenManure_Method2</f>
        <v>2000</v>
      </c>
    </row>
    <row r="14" spans="1:21" ht="20.100000000000001" customHeight="1" x14ac:dyDescent="0.2">
      <c r="A14" s="5" t="str">
        <f>HYPERLINK("#'Input - Fuel'!A1", "Fuel")</f>
        <v>Fuel</v>
      </c>
      <c r="D14" s="113" t="str">
        <v>EF_N2Oi</v>
      </c>
      <c r="E14" s="122" t="str">
        <v>emission factor for direct nitrous oxide emissions from organic fertiliser applied to soils and aquatic systems in climate zone i</v>
      </c>
      <c r="F14" s="136"/>
      <c r="G14" s="123"/>
      <c r="H14" s="113" t="str">
        <v>kg N2O-N/kg N</v>
      </c>
      <c r="I14" s="115" t="str">
        <v>Lookup</v>
      </c>
      <c r="J14" s="113">
        <f>Common_InputFunctions.Utility_LookupValueInTableNumber(J17, Table_SourceData_Common_EFOrganicFertCropResidues[Climate Zone],Table_SourceData_Common_EFOrganicFertCropResidues[EFNi &amp; EFN2Oi])</f>
        <v>5.0000000000000001E-3</v>
      </c>
      <c r="N14" s="113" t="str">
        <v>EF_N2Oi</v>
      </c>
      <c r="O14" s="122" t="str">
        <v>emission factor for direct nitrous oxide emissions from organic fertiliser applied to soils and aquatic systems in climate zone i</v>
      </c>
      <c r="P14" s="136"/>
      <c r="Q14" s="123"/>
      <c r="R14" s="113" t="str">
        <v>kg N2O-N/kg N</v>
      </c>
      <c r="S14" s="115" t="str">
        <v>Lookup</v>
      </c>
      <c r="T14" s="113"/>
    </row>
    <row r="15" spans="1:21" ht="20.100000000000001" customHeight="1" x14ac:dyDescent="0.2">
      <c r="A15" s="5" t="str">
        <f>HYPERLINK("#'Input - Electricity'!A1", "Electricity")</f>
        <v>Electricity</v>
      </c>
      <c r="D15" s="113" t="str">
        <v>C_N2O</v>
      </c>
      <c r="E15" s="122" t="str">
        <v>factor to convert elemental mass of nitrous oxide to molecular mass</v>
      </c>
      <c r="F15" s="136"/>
      <c r="G15" s="123"/>
      <c r="H15" s="113" t="str">
        <v/>
      </c>
      <c r="I15" s="115" t="str">
        <v>Constant</v>
      </c>
      <c r="J15" s="113">
        <f>Common_InputFunctions.Utility_LookupValueInTableNumber("N2O",Table_GasToMolecularConversionFactor[Gas],Table_GasToMolecularConversionFactor[Conversion factor combined])</f>
        <v>1.5714285714285714</v>
      </c>
      <c r="N15" s="113" t="str">
        <v>C_N2O</v>
      </c>
      <c r="O15" s="122" t="str">
        <v>factor to convert elemental mass of nitrous oxide to molecular mass</v>
      </c>
      <c r="P15" s="136"/>
      <c r="Q15" s="123"/>
      <c r="R15" s="113" t="str">
        <v/>
      </c>
      <c r="S15" s="115" t="str">
        <v>Constant</v>
      </c>
      <c r="T15" s="113"/>
    </row>
    <row r="16" spans="1:21" ht="20.100000000000001" customHeight="1" x14ac:dyDescent="0.2">
      <c r="A16" s="5" t="str">
        <f>HYPERLINK("#'Input - Common farm inputs'!A1", "Common farm inputs")</f>
        <v>Common farm inputs</v>
      </c>
      <c r="D16" s="113" t="str">
        <v>j</v>
      </c>
      <c r="E16" s="122" t="str">
        <v>Production system</v>
      </c>
      <c r="F16" s="136"/>
      <c r="G16" s="123"/>
      <c r="H16" s="113" t="str">
        <v/>
      </c>
      <c r="I16" s="249" t="str">
        <v>Input</v>
      </c>
      <c r="J16" s="113" t="str">
        <f>X_Cell_ManureSentOffsite_ManureProductionSystem</f>
        <v>Crop</v>
      </c>
      <c r="N16" s="113" t="str">
        <v>j</v>
      </c>
      <c r="O16" s="122" t="str">
        <v>Production system</v>
      </c>
      <c r="P16" s="136"/>
      <c r="Q16" s="123"/>
      <c r="R16" s="113" t="str">
        <v/>
      </c>
      <c r="S16" s="249" t="str">
        <v>Input</v>
      </c>
      <c r="T16" s="113"/>
    </row>
    <row r="17" spans="1:20" ht="20.100000000000001" customHeight="1" x14ac:dyDescent="0.2">
      <c r="A17" s="5" t="str">
        <f>HYPERLINK("#'Input - Livestock farm Inputs'!A1", "Livestock farm Inputs")</f>
        <v>Livestock farm Inputs</v>
      </c>
      <c r="D17" s="113" t="str">
        <v>i</v>
      </c>
      <c r="E17" s="122" t="str">
        <v>Wet or dry climate zone</v>
      </c>
      <c r="F17" s="136"/>
      <c r="G17" s="123"/>
      <c r="H17" s="113" t="str">
        <v/>
      </c>
      <c r="I17" s="249" t="str">
        <v>Input</v>
      </c>
      <c r="J17" s="113" t="str">
        <f>X_Cell_Site_WetOrDryClimateZone</f>
        <v>Dry climate zone</v>
      </c>
      <c r="N17" s="113" t="str">
        <v>i</v>
      </c>
      <c r="O17" s="122" t="str">
        <v>Wet or dry climate zone</v>
      </c>
      <c r="P17" s="136"/>
      <c r="Q17" s="123"/>
      <c r="R17" s="113" t="str">
        <v/>
      </c>
      <c r="S17" s="249" t="str">
        <v>Input</v>
      </c>
      <c r="T17" s="113"/>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85" t="s">
        <v>781</v>
      </c>
      <c r="E19" s="86" cm="1">
        <f t="array" ref="E19">Fertiliser_Equations_OrganicN2O.VEERG_5_2_1_1__1_OrganicFertiliserApplicationN2OEmissions(J13,J14,J15)</f>
        <v>7.8571428571428577E-3</v>
      </c>
      <c r="F19" s="95" t="str">
        <f>$E$11</f>
        <v>t N2O</v>
      </c>
      <c r="N19" s="85" t="s">
        <v>781</v>
      </c>
      <c r="O19" s="86" cm="1">
        <f t="array" ref="O19">Fertiliser_Equations_OrganicN2O.VEERG_5_2_1_1__1_OrganicFertiliserApplicationN2OEmissions(T13,J14,J15)</f>
        <v>1.5714285714285715E-2</v>
      </c>
      <c r="P19" s="95" t="str">
        <f>$E$11</f>
        <v>t N2O</v>
      </c>
    </row>
    <row r="20" spans="1:20" ht="20.100000000000001" customHeight="1" x14ac:dyDescent="0.2">
      <c r="A20" s="5" t="str">
        <f>HYPERLINK("#'Input - Manure sent off-site'!A1", "Manure sent off-site")</f>
        <v>Manure sent off-site</v>
      </c>
    </row>
    <row r="21" spans="1:20" ht="20.100000000000001" customHeight="1" x14ac:dyDescent="0.2">
      <c r="A21" s="5" t="str">
        <f>HYPERLINK("#'Input - Data quality'!A1", "Data quality")</f>
        <v>Data quality</v>
      </c>
    </row>
    <row r="22" spans="1:20" ht="20.100000000000001" customHeight="1" x14ac:dyDescent="0.2">
      <c r="A22" s="5" t="str">
        <f>HYPERLINK("#'Input - Fert Prod System'!A1", "Fert Prod System")</f>
        <v>Fert Prod System</v>
      </c>
    </row>
    <row r="23" spans="1:20" ht="20.100000000000001" customHeight="1" x14ac:dyDescent="0.2">
      <c r="A23" s="5" t="str">
        <f>HYPERLINK("#'Input - Fertiliser'!A1", "Fertiliser")</f>
        <v>Fertiliser</v>
      </c>
    </row>
    <row r="24" spans="1:20" ht="20.100000000000001" customHeight="1" x14ac:dyDescent="0.2">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
      <c r="A26" s="6" t="s">
        <v>2</v>
      </c>
      <c r="D26" s="112" t="s">
        <v>328</v>
      </c>
      <c r="E26" s="112" t="str" cm="1">
        <f t="array" aca="1" ref="E26" ca="1">Common_InputFunctions.Utility_DisplayFunctionName(E35)</f>
        <v>=Fertiliser_Equations_AtmosphericDeposition.VEERG_5_4_1_3__2_MassOfNitrogenVolatilisedFromOrganicFertiliser</v>
      </c>
      <c r="N26" s="112" t="s">
        <v>328</v>
      </c>
      <c r="O26" s="112" t="str" cm="1">
        <f t="array" aca="1" ref="O26" ca="1">Common_InputFunctions.Utility_DisplayFunctionName(O35)</f>
        <v>=Fertiliser_Equations_AtmosphericDeposition.VEERG_5_4_1_3__2_MassOfNitrogenVolatilisedFromOrganicFertiliser</v>
      </c>
    </row>
    <row r="27" spans="1:20" ht="20.100000000000001" customHeight="1" x14ac:dyDescent="0.2">
      <c r="A27" s="5" t="str">
        <f>HYPERLINK("#'4.6.1.1-2 Methane'!A1", "4.6.1.1-2 Manure Methane")</f>
        <v>4.6.1.1-2 Manure Methane</v>
      </c>
    </row>
    <row r="28" spans="1:20" ht="20.100000000000001" customHeight="1" x14ac:dyDescent="0.2">
      <c r="A28" s="5" t="str">
        <f>HYPERLINK("#'4.6.1.3-4 Direct N20'!A1", "4.6.1.3-4 Manure Direct N2O")</f>
        <v>4.6.1.3-4 Manure Direct N2O</v>
      </c>
    </row>
    <row r="29" spans="1:20" ht="20.100000000000001" customHeight="1" x14ac:dyDescent="0.2">
      <c r="A29" s="5" t="str">
        <f>HYPERLINK("#'4.6.1.5-6 Atmos Dep'!A1", "4.6.1.5-6 Manure Atmos Dep")</f>
        <v>4.6.1.5-6 Manure Atmos Dep</v>
      </c>
      <c r="D29" s="75" t="s">
        <v>329</v>
      </c>
      <c r="E29" s="1" t="str" cm="1">
        <f t="array" ref="E29">Fertiliser_Equations_AtmosphericDeposition.VEERG_5_4_1_3__2_MassOfNitrogenVolatilisedFromOrganicFertiliser_Variable()</f>
        <v>M_volorganicjf</v>
      </c>
      <c r="N29" s="75" t="s">
        <v>329</v>
      </c>
      <c r="O29" s="1" t="str" cm="1">
        <f t="array" ref="O29">Fertiliser_Equations_AtmosphericDeposition.VEERG_5_4_1_3__2_MassOfNitrogenVolatilisedFromOrganicFertiliser_Variable()</f>
        <v>M_volorganicjf</v>
      </c>
    </row>
    <row r="30" spans="1:20" ht="20.100000000000001" customHeight="1" x14ac:dyDescent="0.2">
      <c r="A30" s="5" t="str">
        <f>HYPERLINK("#'4.6.1.7-8 Leaching and runoff'!A1", "4.6.1.7-8 Manure Leaching and runoff")</f>
        <v>4.6.1.7-8 Manure Leaching and runoff</v>
      </c>
      <c r="D30" s="75" t="s">
        <v>118</v>
      </c>
      <c r="E30" s="9" t="str" cm="1">
        <f t="array" ref="E30">Fertiliser_Equations_AtmosphericDeposition.VEERG_5_4_1_3__2_MassOfNitrogenVolatilisedFromOrganicFertiliser_Unit()</f>
        <v>kg N</v>
      </c>
      <c r="N30" s="75" t="s">
        <v>118</v>
      </c>
      <c r="O30" s="9" t="str" cm="1">
        <f t="array" ref="O30">Fertiliser_Equations_AtmosphericDeposition.VEERG_5_4_1_3__2_MassOfNitrogenVolatilisedFromOrganicFertiliser_Unit()</f>
        <v>kg N</v>
      </c>
    </row>
    <row r="31" spans="1:20" ht="20.100000000000001" customHeight="1" x14ac:dyDescent="0.2">
      <c r="A31" s="5" t="str">
        <f>HYPERLINK("#'4.6.1.9 Manure applied to soils'!A1", "4.6.1.9 Manure applied to soils")</f>
        <v>4.6.1.9 Manure applied to soils</v>
      </c>
    </row>
    <row r="32" spans="1:20" ht="20.100000000000001" customHeight="1" x14ac:dyDescent="0.2">
      <c r="A32" s="5" t="str">
        <f>HYPERLINK("#'4.6.1.10-11 Soil direct N2O'!A1", "4.6.1.10-11 Soil direct N2O")</f>
        <v>4.6.1.10-11 Soil direct N2O</v>
      </c>
      <c r="D32" s="113" t="str" cm="1">
        <f t="array" ref="D32:E33">_xlfn.CHOOSECOLS(Fertiliser_Equations_AtmosphericDeposition.VEERG_5_4_1_3__2_MassOfNitrogenVolatilisedFromOrganicFertiliser_Arguments(), 1, 2)</f>
        <v>MNSoil_jf</v>
      </c>
      <c r="E32" s="113" t="str">
        <v>mass of nitrogen in organic fertiliser type f applied to production system j</v>
      </c>
      <c r="F32" s="113"/>
      <c r="G32" s="113" t="str" cm="1">
        <f t="array" ref="G32:H33">_xlfn.CHOOSECOLS(Fertiliser_Equations_AtmosphericDeposition.VEERG_5_4_1_3__2_MassOfNitrogenVolatilisedFromOrganicFertiliser_Arguments(), 3,4)</f>
        <v>kg N</v>
      </c>
      <c r="H32" s="115" t="str">
        <v>Calculated from 5.2.1.1 (2)</v>
      </c>
      <c r="I32" s="113">
        <f>X_Cell_ManureSentOffsite_MassNitrogenManure_Method1</f>
        <v>1000</v>
      </c>
      <c r="N32" s="113" t="str" cm="1">
        <f t="array" ref="N32:O33">_xlfn.CHOOSECOLS(Fertiliser_Equations_AtmosphericDeposition.VEERG_5_4_1_3__2_MassOfNitrogenVolatilisedFromOrganicFertiliser_Arguments(), 1, 2)</f>
        <v>MNSoil_jf</v>
      </c>
      <c r="O32" s="113" t="str">
        <v>mass of nitrogen in organic fertiliser type f applied to production system j</v>
      </c>
      <c r="P32" s="113"/>
      <c r="Q32" s="113" t="str" cm="1">
        <f t="array" ref="Q32:R33">_xlfn.CHOOSECOLS(Fertiliser_Equations_AtmosphericDeposition.VEERG_5_4_1_3__2_MassOfNitrogenVolatilisedFromOrganicFertiliser_Arguments(), 3,4)</f>
        <v>kg N</v>
      </c>
      <c r="R32" s="115" t="str">
        <v>Calculated from 5.2.1.1 (2)</v>
      </c>
      <c r="S32" s="113">
        <f>X_Cell_ManureSentOffsite_MassNitrogenManure_Method2</f>
        <v>2000</v>
      </c>
    </row>
    <row r="33" spans="1:19" ht="20.100000000000001" customHeight="1" x14ac:dyDescent="0.2">
      <c r="A33" s="5" t="str">
        <f>HYPERLINK("#'4.6.1.12-13 Soil atmos dep'!A1", "4.6.1.12-13 Soil atmos dep")</f>
        <v>4.6.1.12-13 Soil atmos dep</v>
      </c>
      <c r="D33" s="113" t="str">
        <v>FracGASM_soil</v>
      </c>
      <c r="E33" s="113" t="str">
        <v>fraction of organic fertiliser N that volatilises</v>
      </c>
      <c r="F33" s="113"/>
      <c r="G33" s="113" t="str">
        <v>(kg NH3-N + NOx-N)/kg N</v>
      </c>
      <c r="H33" s="115" t="str">
        <v>Constant</v>
      </c>
      <c r="I33" s="113">
        <f>Fertiliser_FracGASMSoil_Data</f>
        <v>0.21</v>
      </c>
      <c r="N33" s="113" t="str">
        <v>FracGASM_soil</v>
      </c>
      <c r="O33" s="113" t="str">
        <v>fraction of organic fertiliser N that volatilises</v>
      </c>
      <c r="P33" s="113"/>
      <c r="Q33" s="113" t="str">
        <v>(kg NH3-N + NOx-N)/kg N</v>
      </c>
      <c r="R33" s="115" t="str">
        <v>Constant</v>
      </c>
      <c r="S33" s="113"/>
    </row>
    <row r="34" spans="1:19" ht="20.100000000000001" customHeight="1" x14ac:dyDescent="0.2">
      <c r="A34" s="5" t="str">
        <f>HYPERLINK("#'4.6.1.14-15 Soil leach runoff'!A1", "4.6.1.14-15 Soil leach runoff")</f>
        <v>4.6.1.14-15 Soil leach runoff</v>
      </c>
    </row>
    <row r="35" spans="1:19" ht="20.100000000000001" customHeight="1" x14ac:dyDescent="0.2">
      <c r="A35" s="5" t="str">
        <f>HYPERLINK("#'8.1.1.1-2 Transport fuel'!A1", "8.1.1.1-2 Transport fuel")</f>
        <v>8.1.1.1-2 Transport fuel</v>
      </c>
      <c r="D35" s="88" t="s">
        <v>1158</v>
      </c>
      <c r="E35" s="83" cm="1">
        <f t="array" ref="E35">Fertiliser_Equations_AtmosphericDeposition.VEERG_5_4_1_3__2_MassOfNitrogenVolatilisedFromOrganicFertiliser(I32,I33)</f>
        <v>210</v>
      </c>
      <c r="F35" s="89" t="str">
        <f>E30</f>
        <v>kg N</v>
      </c>
      <c r="N35" s="88" t="s">
        <v>1158</v>
      </c>
      <c r="O35" s="83" cm="1">
        <f t="array" ref="O35">Fertiliser_Equations_AtmosphericDeposition.VEERG_5_4_1_3__2_MassOfNitrogenVolatilisedFromOrganicFertiliser(S32,I33)</f>
        <v>420</v>
      </c>
      <c r="P35" s="89" t="str">
        <f>O30</f>
        <v>kg N</v>
      </c>
    </row>
    <row r="36" spans="1:19" ht="20.100000000000001" customHeight="1" x14ac:dyDescent="0.2">
      <c r="A36" s="5" t="str">
        <f>HYPERLINK("#'8.2.1.1-2 Stationary fuel'!A1", "8.2.1.1-2 Stationary fuel")</f>
        <v>8.2.1.1-2 Stationary fuel</v>
      </c>
    </row>
    <row r="37" spans="1:19" ht="20.100000000000001" customHeight="1" x14ac:dyDescent="0.2">
      <c r="A37" s="5" t="str">
        <f>HYPERLINK("#'10.1.1-2 Solid waste treatment'!A1", "10.1.1.1-2 Solid waste")</f>
        <v>10.1.1.1-2 Solid waste</v>
      </c>
    </row>
    <row r="38" spans="1:19" ht="20.100000000000001" customHeight="1" x14ac:dyDescent="0.2">
      <c r="A38" s="5" t="str">
        <f>HYPERLINK("#'14.1.1-2 Purchased electricity'!A1", "14.1.1-2 Purchased electricity")</f>
        <v>14.1.1-2 Purchased electricity</v>
      </c>
    </row>
    <row r="39" spans="1:19" ht="20.100000000000001" customHeight="1" x14ac:dyDescent="0.2">
      <c r="A39" s="5" t="str">
        <f>HYPERLINK("#'15 Scope 3'!A1", "15 Scope 3")</f>
        <v>15 Scope 3</v>
      </c>
    </row>
    <row r="40" spans="1:19" ht="20.100000000000001" customHeight="1" x14ac:dyDescent="0.2">
      <c r="A40" s="117" t="str">
        <f>HYPERLINK("#'Calcs - Manure sent off-site'!A1", "Calcs - Manure sent off-site")</f>
        <v>Calcs - Manure sent off-site</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
      <c r="A41" s="5" t="str">
        <f>HYPERLINK("#'5.1.1.1-2 Inorganic fert N2O'!A1", "5.1.1.1-2 Inorganic fert N2O")</f>
        <v>5.1.1.1-2 Inorganic fert N2O</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
      <c r="A42" s="5" t="str">
        <f>HYPERLINK("#'5.1.1.3-4 Inorganic fert CO2'!A1", "5.1.1.3-4 Inorganic fert CO2")</f>
        <v>5.1.1.3-4 Inorganic fert CO2</v>
      </c>
      <c r="D42" s="112" t="s">
        <v>328</v>
      </c>
      <c r="E42" s="112" t="str">
        <f ca="1">Common_InputFunctions.Utility_DisplayFunctionName(VEERG_5_4_1_3__1_OrganicFertiliserAtmosphericDepositionN2OEmissions_Result_Method1)</f>
        <v>=SUM</v>
      </c>
      <c r="N42" s="112" t="s">
        <v>328</v>
      </c>
      <c r="O42" s="112"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
      <c r="A43" s="5" t="str">
        <f>HYPERLINK("#'5.2.1.1-2 Organic Fert N2O'!A1", "5.2.1.1-2 Organic Fert N2O")</f>
        <v>5.2.1.1-2 Organic Fert N2O</v>
      </c>
    </row>
    <row r="44" spans="1:19" ht="20.100000000000001" customHeight="1" x14ac:dyDescent="0.2">
      <c r="A44" s="5" t="str">
        <f>HYPERLINK("#'5.3.1.1-2 Lime CO2'!A1", "5.3.1.1-2 Lime CO2")</f>
        <v>5.3.1.1-2 Lime CO2</v>
      </c>
    </row>
    <row r="45" spans="1:19" ht="20.100000000000001" customHeight="1" x14ac:dyDescent="0.2">
      <c r="A45" s="5" t="str">
        <f>HYPERLINK("#'5.4.1.1-4 Atmos deposition'!A1", "5.4.1.1-4 Atmos deposition")</f>
        <v>5.4.1.1-4 Atmos deposition</v>
      </c>
      <c r="D45" s="75" t="s">
        <v>329</v>
      </c>
      <c r="E45" s="1" t="str" cm="1">
        <f t="array" ref="E45">Fertiliser_Equations_AtmosphericDeposition.VEERG_5_4_1_3__1_OrganicFertiliserAtmosphericDepositionN2OEmissions_Variable()</f>
        <v>E_adorganic</v>
      </c>
      <c r="N45" s="75" t="s">
        <v>329</v>
      </c>
      <c r="O45" s="1" t="str" cm="1">
        <f t="array" ref="O45">Fertiliser_Equations_AtmosphericDeposition.VEERG_5_4_1_3__1_OrganicFertiliserAtmosphericDepositionN2OEmissions_Variable()</f>
        <v>E_adorganic</v>
      </c>
    </row>
    <row r="46" spans="1:19" ht="20.100000000000001" customHeight="1" x14ac:dyDescent="0.2">
      <c r="A46" s="5" t="str">
        <f>HYPERLINK("#'5.5.1.1-2 Leaching and runoff'!A1", "5.5.1.1-2 Leaching and runoff")</f>
        <v>5.5.1.1-2 Leaching and runoff</v>
      </c>
      <c r="D46" s="75" t="s">
        <v>118</v>
      </c>
      <c r="E46" s="9" t="str" cm="1">
        <f t="array" ref="E46">Fertiliser_Equations_AtmosphericDeposition.VEERG_5_4_1_3__1_OrganicFertiliserAtmosphericDepositionN2OEmissions_Unit()</f>
        <v>t N2O</v>
      </c>
      <c r="N46" s="75" t="s">
        <v>118</v>
      </c>
      <c r="O46" s="9" t="str" cm="1">
        <f t="array" ref="O46">Fertiliser_Equations_AtmosphericDeposition.VEERG_5_4_1_3__1_OrganicFertiliserAtmosphericDepositionN2OEmissions_Unit()</f>
        <v>t N2O</v>
      </c>
    </row>
    <row r="48" spans="1:19" ht="20.100000000000001" customHeight="1" x14ac:dyDescent="0.2">
      <c r="D48" s="113" t="str" cm="1">
        <f t="array" ref="D48:E53">_xlfn.CHOOSECOLS(Fertiliser_Equations_AtmosphericDeposition.VEERG_5_4_1_3__1_OrganicFertiliserAtmosphericDepositionN2OEmissions_Arguments(), 1, 2)</f>
        <v>M_volorganicjf</v>
      </c>
      <c r="E48" s="122" t="str">
        <v>mass of nitrogen volatilised from organic fertiliser applied to production system</v>
      </c>
      <c r="F48" s="123"/>
      <c r="G48" s="113" t="str" cm="1">
        <f t="array" ref="G48:H53">_xlfn.CHOOSECOLS(Fertiliser_Equations_AtmosphericDeposition.VEERG_5_4_1_3__1_OrganicFertiliserAtmosphericDepositionN2OEmissions_Arguments(), 3,4)</f>
        <v>kg N</v>
      </c>
      <c r="H48" s="115" t="str">
        <v>Calculated from 5.4.1.3 (2)</v>
      </c>
      <c r="I48" s="113">
        <f>E35</f>
        <v>210</v>
      </c>
      <c r="N48" s="113" t="str" cm="1">
        <f t="array" ref="N48:O53">_xlfn.CHOOSECOLS(Fertiliser_Equations_AtmosphericDeposition.VEERG_5_4_1_3__1_OrganicFertiliserAtmosphericDepositionN2OEmissions_Arguments(), 1, 2)</f>
        <v>M_volorganicjf</v>
      </c>
      <c r="O48" s="122" t="str">
        <v>mass of nitrogen volatilised from organic fertiliser applied to production system</v>
      </c>
      <c r="P48" s="123"/>
      <c r="Q48" s="113" t="str" cm="1">
        <f t="array" ref="Q48:R53">_xlfn.CHOOSECOLS(Fertiliser_Equations_AtmosphericDeposition.VEERG_5_4_1_3__1_OrganicFertiliserAtmosphericDepositionN2OEmissions_Arguments(), 3,4)</f>
        <v>kg N</v>
      </c>
      <c r="R48" s="115" t="str">
        <v>Calculated from 5.4.1.3 (2)</v>
      </c>
      <c r="S48" s="113">
        <f>O35</f>
        <v>420</v>
      </c>
    </row>
    <row r="49" spans="1:19" ht="20.100000000000001" customHeight="1" x14ac:dyDescent="0.2">
      <c r="A49" s="80" t="s">
        <v>1</v>
      </c>
      <c r="D49" s="113" t="str">
        <v>EF_N2Oj</v>
      </c>
      <c r="E49" s="122" t="str">
        <v>emission factor for atmospheric deposition in production system j</v>
      </c>
      <c r="F49" s="123"/>
      <c r="G49" s="113" t="str">
        <v>kg N2O-N/kg N</v>
      </c>
      <c r="H49" s="115" t="str">
        <v>Constant</v>
      </c>
      <c r="I49" s="113">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13" t="str">
        <v>EF_N2Oj</v>
      </c>
      <c r="O49" s="122" t="str">
        <v>emission factor for atmospheric deposition in production system j</v>
      </c>
      <c r="P49" s="123"/>
      <c r="Q49" s="113" t="str">
        <v>kg N2O-N/kg N</v>
      </c>
      <c r="R49" s="115" t="str">
        <v>Constant</v>
      </c>
      <c r="S49" s="113"/>
    </row>
    <row r="50" spans="1:19" ht="20.100000000000001" customHeight="1" x14ac:dyDescent="0.2">
      <c r="A50" s="5" t="str">
        <f>HYPERLINK("#'Constants - Poultry'!A1", "Constants - Poultry")</f>
        <v>Constants - Poultry</v>
      </c>
      <c r="D50" s="113" t="str">
        <v>C_N2O</v>
      </c>
      <c r="E50" s="122" t="str">
        <v>factor to convert elemental mass of nitrous oxide to molecular mass</v>
      </c>
      <c r="F50" s="123"/>
      <c r="G50" s="113" t="str">
        <v/>
      </c>
      <c r="H50" s="115" t="str">
        <v>Constant</v>
      </c>
      <c r="I50" s="126">
        <f>Common_InputFunctions.Utility_LookupValueInTableNumber("N2O",Table_GasToMolecularConversionFactor[Gas],Table_GasToMolecularConversionFactor[Conversion factor combined])</f>
        <v>1.5714285714285714</v>
      </c>
      <c r="N50" s="113" t="str">
        <v>C_N2O</v>
      </c>
      <c r="O50" s="122" t="str">
        <v>factor to convert elemental mass of nitrous oxide to molecular mass</v>
      </c>
      <c r="P50" s="123"/>
      <c r="Q50" s="113" t="str">
        <v/>
      </c>
      <c r="R50" s="115" t="str">
        <v>Constant</v>
      </c>
      <c r="S50" s="126"/>
    </row>
    <row r="51" spans="1:19" ht="20.100000000000001" customHeight="1" x14ac:dyDescent="0.2">
      <c r="A51" s="5" t="str">
        <f>HYPERLINK("#'Constants - Common livestock'!A1", "Constants - Common Livestock")</f>
        <v>Constants - Common Livestock</v>
      </c>
      <c r="D51" s="113" t="str">
        <v>j</v>
      </c>
      <c r="E51" s="122" t="str">
        <v>Production system</v>
      </c>
      <c r="F51" s="123"/>
      <c r="G51" s="113" t="str">
        <v/>
      </c>
      <c r="H51" s="249" t="str">
        <v>Input</v>
      </c>
      <c r="I51" s="113" t="str">
        <f>IF(ISBLANK(X_Cell_ManureSentOffsite_ManureProductionSystem), "Pasture", X_Cell_ManureSentOffsite_ManureProductionSystem)</f>
        <v>Crop</v>
      </c>
      <c r="N51" s="113" t="str">
        <v>j</v>
      </c>
      <c r="O51" s="122" t="str">
        <v>Production system</v>
      </c>
      <c r="P51" s="123"/>
      <c r="Q51" s="113" t="str">
        <v/>
      </c>
      <c r="R51" s="249" t="str">
        <v>Input</v>
      </c>
      <c r="S51" s="113"/>
    </row>
    <row r="52" spans="1:19" ht="20.100000000000001" customHeight="1" x14ac:dyDescent="0.2">
      <c r="A52" s="5" t="str">
        <f>HYPERLINK("#'Constants - Electricity'!A1", "Constants - Electricity")</f>
        <v>Constants - Electricity</v>
      </c>
      <c r="D52" s="113" t="str">
        <v>ir</v>
      </c>
      <c r="E52" s="122" t="str">
        <v>irrigation method</v>
      </c>
      <c r="F52" s="123"/>
      <c r="G52" s="113" t="str">
        <v/>
      </c>
      <c r="H52" s="249" t="str">
        <v>Input</v>
      </c>
      <c r="I52" s="113" t="str">
        <f>IF(ISBLANK(X_Cell_ManureSentOffsite_ManureIrrigationMethod), "Not irrigated", X_Cell_ManureSentOffsite_ManureIrrigationMethod)</f>
        <v>Sprinkler irrigation</v>
      </c>
      <c r="N52" s="113" t="str">
        <v>ir</v>
      </c>
      <c r="O52" s="122" t="str">
        <v>irrigation method</v>
      </c>
      <c r="P52" s="123"/>
      <c r="Q52" s="113" t="str">
        <v/>
      </c>
      <c r="R52" s="249" t="str">
        <v>Input</v>
      </c>
      <c r="S52" s="113"/>
    </row>
    <row r="53" spans="1:19" ht="20.100000000000001" customHeight="1" x14ac:dyDescent="0.2">
      <c r="A53" s="5" t="str">
        <f>HYPERLINK("#'Constants - Fertiliser'!A1", "Constants - Fertiliser")</f>
        <v>Constants - Fertiliser</v>
      </c>
      <c r="D53" s="113" t="str">
        <v>r</v>
      </c>
      <c r="E53" s="122" t="str">
        <v>rainfall region</v>
      </c>
      <c r="F53" s="123"/>
      <c r="G53" s="113" t="str">
        <v/>
      </c>
      <c r="H53" s="249" t="str">
        <v>Input</v>
      </c>
      <c r="I53" s="113" t="str">
        <f>IF(ISBLANK(X_Cell_Site_RainfallZone), "Low rainfall", X_Cell_Site_RainfallZone)</f>
        <v>High rainfall</v>
      </c>
      <c r="N53" s="113" t="str">
        <v>r</v>
      </c>
      <c r="O53" s="122" t="str">
        <v>rainfall region</v>
      </c>
      <c r="P53" s="123"/>
      <c r="Q53" s="113" t="str">
        <v/>
      </c>
      <c r="R53" s="249" t="str">
        <v>Input</v>
      </c>
      <c r="S53" s="113"/>
    </row>
    <row r="54" spans="1:19" ht="20.100000000000001" customHeight="1" x14ac:dyDescent="0.2">
      <c r="A54" s="5" t="str">
        <f>HYPERLINK("#'Constants - Fuel'!A1", "Constants - Fuel")</f>
        <v>Constants - Fuel</v>
      </c>
    </row>
    <row r="55" spans="1:19" ht="20.100000000000001" customHeight="1" x14ac:dyDescent="0.2">
      <c r="A55" s="5" t="str">
        <f>HYPERLINK("#'Constants - Scope 3'!A1", "Constants - Scope 3")</f>
        <v>Constants - Scope 3</v>
      </c>
      <c r="D55" s="85" t="s">
        <v>827</v>
      </c>
      <c r="E55" s="86" cm="1">
        <f t="array" ref="E55">Fertiliser_Equations_AtmosphericDeposition.VEERG_5_4_1_3__1_OrganicFertiliserAtmosphericDepositionN2OEmissions(I48,I49,I50)</f>
        <v>2.31E-3</v>
      </c>
      <c r="F55" s="95" t="str">
        <f>$E$46</f>
        <v>t N2O</v>
      </c>
      <c r="N55" s="85" t="s">
        <v>827</v>
      </c>
      <c r="O55" s="86" cm="1">
        <f t="array" ref="O55">Fertiliser_Equations_AtmosphericDeposition.VEERG_5_4_1_3__1_OrganicFertiliserAtmosphericDepositionN2OEmissions(S48,I49,I50)</f>
        <v>4.62E-3</v>
      </c>
      <c r="P55" s="95" t="str">
        <f>$E$46</f>
        <v>t N2O</v>
      </c>
    </row>
    <row r="56" spans="1:19" ht="20.100000000000001" customHeight="1" x14ac:dyDescent="0.2">
      <c r="A56" s="5" t="str">
        <f>HYPERLINK("#'Constants - Solid Waste'!A1", "Constants - Solid Waste")</f>
        <v>Constants - Solid Waste</v>
      </c>
    </row>
    <row r="57" spans="1:19" ht="20.100000000000001" customHeight="1" x14ac:dyDescent="0.2">
      <c r="A57" s="5" t="str">
        <f>HYPERLINK("#'Constants - Common'!A1", "Constants - Common")</f>
        <v>Constants - Common</v>
      </c>
    </row>
    <row r="59" spans="1:19" ht="20.100000000000001" customHeight="1" x14ac:dyDescent="0.2">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
      <c r="D61" s="112" t="s">
        <v>328</v>
      </c>
      <c r="E61" s="112" t="str" cm="1">
        <f t="array" aca="1" ref="E61" ca="1">Common_InputFunctions.Utility_DisplayFunctionName(E74)</f>
        <v>=Fertiliser_Equations_LeachingAndRunoff.VEERG_5_5_1_1__3_MassOfNitrogenLeachedFromOrganicFertiliser</v>
      </c>
      <c r="N61" s="112" t="s">
        <v>328</v>
      </c>
      <c r="O61" s="112" t="str" cm="1">
        <f t="array" aca="1" ref="O61" ca="1">Common_InputFunctions.Utility_DisplayFunctionName(O74)</f>
        <v>=Fertiliser_Equations_LeachingAndRunoff.VEERG_5_5_1_1__3_MassOfNitrogenLeachedFromOrganicFertiliser</v>
      </c>
    </row>
    <row r="64" spans="1:19" ht="20.100000000000001" customHeight="1" x14ac:dyDescent="0.2">
      <c r="D64" s="75" t="s">
        <v>329</v>
      </c>
      <c r="E64" s="1" t="str" cm="1">
        <f t="array" ref="E64">Fertiliser_Equations_LeachingAndRunoff.VEERG_5_5_1_1__3_MassOfNitrogenLeachedFromOrganicFertiliser_Variable()</f>
        <v>M_leachorganicj</v>
      </c>
      <c r="N64" s="75" t="s">
        <v>329</v>
      </c>
      <c r="O64" s="1" t="str" cm="1">
        <f t="array" ref="O64">Fertiliser_Equations_LeachingAndRunoff.VEERG_5_5_1_1__3_MassOfNitrogenLeachedFromOrganicFertiliser_Variable()</f>
        <v>M_leachorganicj</v>
      </c>
    </row>
    <row r="65" spans="1:19" ht="20.100000000000001" customHeight="1" x14ac:dyDescent="0.2">
      <c r="D65" s="75" t="s">
        <v>118</v>
      </c>
      <c r="E65" s="9" t="str" cm="1">
        <f t="array" ref="E65">Fertiliser_Equations_LeachingAndRunoff.VEERG_5_5_1_1__3_MassOfNitrogenLeachedFromOrganicFertiliser_Unit()</f>
        <v>kg N</v>
      </c>
      <c r="N65" s="75" t="s">
        <v>118</v>
      </c>
      <c r="O65" s="9" t="str" cm="1">
        <f t="array" ref="O65">Fertiliser_Equations_LeachingAndRunoff.VEERG_5_5_1_1__3_MassOfNitrogenLeachedFromOrganicFertiliser_Unit()</f>
        <v>kg N</v>
      </c>
    </row>
    <row r="67" spans="1:19" ht="20.100000000000001" customHeight="1" x14ac:dyDescent="0.2">
      <c r="D67" s="113" t="str" cm="1">
        <f t="array" ref="D67:E72">_xlfn.CHOOSECOLS(Fertiliser_Equations_LeachingAndRunoff.VEERG_5_5_1_1__3_MassOfNitrogenLeachedFromOrganicFertiliser_Arguments(), 1, 2)</f>
        <v>MNSoil_jf</v>
      </c>
      <c r="E67" s="122" t="str">
        <v>mass of nitrogen in organic fertiliser</v>
      </c>
      <c r="F67" s="123"/>
      <c r="G67" s="113" t="str" cm="1">
        <f t="array" ref="G67:H72">_xlfn.CHOOSECOLS(Fertiliser_Equations_LeachingAndRunoff.VEERG_5_5_1_1__3_MassOfNitrogenLeachedFromOrganicFertiliser_Arguments(), 3,4)</f>
        <v>kg N</v>
      </c>
      <c r="H67" s="115" t="str">
        <v>Calculated from 5.2.1.1 (2)</v>
      </c>
      <c r="I67" s="113">
        <f>X_Cell_ManureSentOffsite_MassNitrogenManure_Method1</f>
        <v>1000</v>
      </c>
      <c r="N67" s="113" t="str" cm="1">
        <f t="array" ref="N67:O72">_xlfn.CHOOSECOLS(Fertiliser_Equations_LeachingAndRunoff.VEERG_5_5_1_1__3_MassOfNitrogenLeachedFromOrganicFertiliser_Arguments(), 1, 2)</f>
        <v>MNSoil_jf</v>
      </c>
      <c r="O67" s="122" t="str">
        <v>mass of nitrogen in organic fertiliser</v>
      </c>
      <c r="P67" s="123"/>
      <c r="Q67" s="113" t="str" cm="1">
        <f t="array" ref="Q67:R72">_xlfn.CHOOSECOLS(Fertiliser_Equations_LeachingAndRunoff.VEERG_5_5_1_1__3_MassOfNitrogenLeachedFromOrganicFertiliser_Arguments(), 3,4)</f>
        <v>kg N</v>
      </c>
      <c r="R67" s="115" t="str">
        <v>Calculated from 5.2.1.1 (2)</v>
      </c>
      <c r="S67" s="113">
        <f>X_Cell_ManureSentOffsite_MassNitrogenManure_Method2</f>
        <v>2000</v>
      </c>
    </row>
    <row r="68" spans="1:19" ht="20.100000000000001" customHeight="1" x14ac:dyDescent="0.2">
      <c r="A68" s="79" t="str">
        <f>HYPERLINK("#A1", "▲ Back to top")</f>
        <v>▲ Back to top</v>
      </c>
      <c r="D68" s="113" t="str">
        <v>FracWETj</v>
      </c>
      <c r="E68" s="122" t="str">
        <v>fraction of N available for leaching and runoff</v>
      </c>
      <c r="F68" s="123"/>
      <c r="G68" s="113" t="str">
        <v>fraction</v>
      </c>
      <c r="H68" s="115" t="str">
        <v>Constant</v>
      </c>
      <c r="I68" s="113">
        <f>Common_InputFunctions.CommonCropping_GetFracWET(I70,I72,Table_SourceData_FracWET[Is in leaching zone],Table_SourceData_FracWET[FracWET],Table_SourceData_FracWETIrrigation[Irrigation type i],Table_SourceData_FracWETIrrigation[FracWET])</f>
        <v>1</v>
      </c>
      <c r="N68" s="113" t="str">
        <v>FracWETj</v>
      </c>
      <c r="O68" s="122" t="str">
        <v>fraction of N available for leaching and runoff</v>
      </c>
      <c r="P68" s="123"/>
      <c r="Q68" s="113" t="str">
        <v>fraction</v>
      </c>
      <c r="R68" s="115" t="str">
        <v>Constant</v>
      </c>
      <c r="S68" s="113"/>
    </row>
    <row r="69" spans="1:19" ht="20.100000000000001" customHeight="1" x14ac:dyDescent="0.2">
      <c r="D69" s="113" t="str">
        <v>FracLEACH</v>
      </c>
      <c r="E69" s="122" t="str">
        <v>fraction of N that is lost through leaching and runoff</v>
      </c>
      <c r="F69" s="123"/>
      <c r="G69" s="113" t="str">
        <v>fraction</v>
      </c>
      <c r="H69" s="115" t="str">
        <v>Constant</v>
      </c>
      <c r="I69" s="113">
        <f>Fertiliser_FracLEACH_Data</f>
        <v>0.24</v>
      </c>
      <c r="N69" s="113" t="str">
        <v>FracLEACH</v>
      </c>
      <c r="O69" s="122" t="str">
        <v>fraction of N that is lost through leaching and runoff</v>
      </c>
      <c r="P69" s="123"/>
      <c r="Q69" s="113" t="str">
        <v>fraction</v>
      </c>
      <c r="R69" s="115" t="str">
        <v>Constant</v>
      </c>
      <c r="S69" s="113"/>
    </row>
    <row r="70" spans="1:19" ht="20.100000000000001" customHeight="1" x14ac:dyDescent="0.2">
      <c r="D70" s="113" t="str">
        <v>z</v>
      </c>
      <c r="E70" s="122" t="str">
        <v>location in leaching zone</v>
      </c>
      <c r="F70" s="123"/>
      <c r="G70" s="113" t="str">
        <v/>
      </c>
      <c r="H70" s="249" t="str">
        <v>Input</v>
      </c>
      <c r="I70" s="113" t="str">
        <f>X_Cell_Site_LeachingZone</f>
        <v>NO - Not in leaching zone</v>
      </c>
      <c r="N70" s="113" t="str">
        <v>z</v>
      </c>
      <c r="O70" s="122" t="str">
        <v>location in leaching zone</v>
      </c>
      <c r="P70" s="123"/>
      <c r="Q70" s="113" t="str">
        <v/>
      </c>
      <c r="R70" s="249" t="str">
        <v>Input</v>
      </c>
      <c r="S70" s="113"/>
    </row>
    <row r="71" spans="1:19" ht="20.100000000000001" customHeight="1" x14ac:dyDescent="0.2">
      <c r="D71" s="113" t="str">
        <v>j</v>
      </c>
      <c r="E71" s="122" t="str">
        <v>production system</v>
      </c>
      <c r="F71" s="123"/>
      <c r="G71" s="113" t="str">
        <v/>
      </c>
      <c r="H71" s="249" t="str">
        <v>Input</v>
      </c>
      <c r="I71" s="113" t="str">
        <f>IF(ISBLANK(X_Cell_ManureSentOffsite_ManureProductionSystem), "Pasture", X_Cell_ManureSentOffsite_ManureProductionSystem)</f>
        <v>Crop</v>
      </c>
      <c r="N71" s="113" t="str">
        <v>j</v>
      </c>
      <c r="O71" s="122" t="str">
        <v>production system</v>
      </c>
      <c r="P71" s="123"/>
      <c r="Q71" s="113" t="str">
        <v/>
      </c>
      <c r="R71" s="249" t="str">
        <v>Input</v>
      </c>
      <c r="S71" s="113"/>
    </row>
    <row r="72" spans="1:19" ht="20.100000000000001" customHeight="1" x14ac:dyDescent="0.2">
      <c r="D72" s="113" t="str">
        <v>ir</v>
      </c>
      <c r="E72" s="122" t="str">
        <v>irrigation method</v>
      </c>
      <c r="F72" s="123"/>
      <c r="G72" s="113" t="str">
        <v/>
      </c>
      <c r="H72" s="249" t="str">
        <v>Input</v>
      </c>
      <c r="I72" s="113" t="str">
        <f>IF(ISBLANK(X_Cell_ManureSentOffsite_ManureIrrigationMethod), "Not irrigated", X_Cell_ManureSentOffsite_ManureIrrigationMethod)</f>
        <v>Sprinkler irrigation</v>
      </c>
      <c r="N72" s="113" t="str">
        <v>ir</v>
      </c>
      <c r="O72" s="122" t="str">
        <v>irrigation method</v>
      </c>
      <c r="P72" s="123"/>
      <c r="Q72" s="113" t="str">
        <v/>
      </c>
      <c r="R72" s="249" t="str">
        <v>Input</v>
      </c>
      <c r="S72" s="113"/>
    </row>
    <row r="74" spans="1:19" ht="20.100000000000001" customHeight="1" x14ac:dyDescent="0.2">
      <c r="D74" s="88" t="s">
        <v>1159</v>
      </c>
      <c r="E74" s="83" cm="1">
        <f t="array" ref="E74">Fertiliser_Equations_LeachingAndRunoff.VEERG_5_5_1_1__3_MassOfNitrogenLeachedFromOrganicFertiliser(I67,I68,I69)</f>
        <v>240</v>
      </c>
      <c r="F74" s="89" t="str">
        <f>$E$65</f>
        <v>kg N</v>
      </c>
      <c r="N74" s="88" t="s">
        <v>1159</v>
      </c>
      <c r="O74" s="83" cm="1">
        <f t="array" ref="O74">Fertiliser_Equations_LeachingAndRunoff.VEERG_5_5_1_1__3_MassOfNitrogenLeachedFromOrganicFertiliser(S67,I68,I69)</f>
        <v>480</v>
      </c>
      <c r="P74" s="89" t="str">
        <f>$E$65</f>
        <v>kg N</v>
      </c>
    </row>
    <row r="77" spans="1:19" ht="20.100000000000001" customHeight="1" x14ac:dyDescent="0.2">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
      <c r="D79" s="112" t="s">
        <v>328</v>
      </c>
      <c r="E79" s="112" t="str">
        <f ca="1">Common_InputFunctions.Utility_DisplayFunctionName(VEERG_5_5_1_1__1_FertiliserLeachingAndRunoffN2OEmissions_Result_Method1)</f>
        <v>=Fertiliser_Equations_LeachingAndRunoff.VEERG_5_5_1_1__1_FertiliserLeachingAndRunoffN2OEmissions</v>
      </c>
      <c r="N79" s="112" t="s">
        <v>328</v>
      </c>
      <c r="O79" s="112" t="str">
        <f ca="1">Common_InputFunctions.Utility_DisplayFunctionName(VEERG_5_5_1_1__1_FertiliserLeachingAndRunoffN2OEmissions_Result_Method2)</f>
        <v>=Fertiliser_Equations_LeachingAndRunoff.VEERG_5_5_1_1__1_FertiliserLeachingAndRunoffN2OEmissions</v>
      </c>
    </row>
    <row r="82" spans="4:20" ht="20.100000000000001" customHeight="1" x14ac:dyDescent="0.2">
      <c r="D82" s="75" t="s">
        <v>329</v>
      </c>
      <c r="E82" s="1" t="str" cm="1">
        <f t="array" ref="E82">Fertiliser_Equations_LeachingAndRunoff.VEERG_5_5_1_1__1_FertiliserLeachingAndRunoffN2OEmissions_Variable()</f>
        <v>E_fertleach</v>
      </c>
      <c r="N82" s="75" t="s">
        <v>329</v>
      </c>
      <c r="O82" s="1" t="str" cm="1">
        <f t="array" ref="O82">Fertiliser_Equations_LeachingAndRunoff.VEERG_5_5_1_1__1_FertiliserLeachingAndRunoffN2OEmissions_Variable()</f>
        <v>E_fertleach</v>
      </c>
    </row>
    <row r="83" spans="4:20" ht="20.100000000000001" customHeight="1" x14ac:dyDescent="0.2">
      <c r="D83" s="75" t="s">
        <v>118</v>
      </c>
      <c r="E83" s="9" t="str" cm="1">
        <f t="array" ref="E83">Fertiliser_Equations_LeachingAndRunoff.VEERG_5_5_1_1__1_FertiliserLeachingAndRunoffN2OEmissions_Unit()</f>
        <v>t N2O</v>
      </c>
      <c r="N83" s="75" t="s">
        <v>118</v>
      </c>
      <c r="O83" s="9" t="str" cm="1">
        <f t="array" ref="O83">Fertiliser_Equations_LeachingAndRunoff.VEERG_5_5_1_1__1_FertiliserLeachingAndRunoffN2OEmissions_Unit()</f>
        <v>t N2O</v>
      </c>
    </row>
    <row r="85" spans="4:20" ht="20.100000000000001" customHeight="1" x14ac:dyDescent="0.2">
      <c r="D85" s="113" t="str" cm="1">
        <f t="array" ref="D85:E88">_xlfn.CHOOSECOLS(Fertiliser_Equations_LeachingAndRunoff.VEERG_5_5_1_1__1_FertiliserLeachingAndRunoffN2OEmissions_Arguments(), 1, 2)</f>
        <v>M_leachinorganicj</v>
      </c>
      <c r="E85" s="122" t="str">
        <v>mass of nitrogen lost through leaching and runoff from inorganic fertiliser application in production system j</v>
      </c>
      <c r="F85" s="136"/>
      <c r="G85" s="123"/>
      <c r="H85" s="113" t="str" cm="1">
        <f t="array" ref="H85:I88">_xlfn.CHOOSECOLS(Fertiliser_Equations_LeachingAndRunoff.VEERG_5_5_1_1__1_FertiliserLeachingAndRunoffN2OEmissions_Arguments(), 3,4)</f>
        <v>kg N</v>
      </c>
      <c r="I85" s="115" t="str">
        <v>Calculated from 5.5.1.1 (2)</v>
      </c>
      <c r="J85" s="113">
        <v>0</v>
      </c>
      <c r="N85" s="113" t="str" cm="1">
        <f t="array" ref="N85:O88">_xlfn.CHOOSECOLS(Fertiliser_Equations_LeachingAndRunoff.VEERG_5_5_1_1__1_FertiliserLeachingAndRunoffN2OEmissions_Arguments(), 1, 2)</f>
        <v>M_leachinorganicj</v>
      </c>
      <c r="O85" s="122" t="str">
        <v>mass of nitrogen lost through leaching and runoff from inorganic fertiliser application in production system j</v>
      </c>
      <c r="P85" s="136"/>
      <c r="Q85" s="123"/>
      <c r="R85" s="113" t="str" cm="1">
        <f t="array" ref="R85:S88">_xlfn.CHOOSECOLS(Fertiliser_Equations_LeachingAndRunoff.VEERG_5_5_1_1__1_FertiliserLeachingAndRunoffN2OEmissions_Arguments(), 3,4)</f>
        <v>kg N</v>
      </c>
      <c r="S85" s="115" t="str">
        <v>Calculated from 5.5.1.1 (2)</v>
      </c>
      <c r="T85" s="113"/>
    </row>
    <row r="86" spans="4:20" ht="20.100000000000001" customHeight="1" x14ac:dyDescent="0.2">
      <c r="D86" s="113" t="str">
        <v>M_leachorganicj</v>
      </c>
      <c r="E86" s="122" t="str">
        <v>mass of nitrogen lost through leaching and runoff from organic fertiliser application</v>
      </c>
      <c r="F86" s="136"/>
      <c r="G86" s="123"/>
      <c r="H86" s="113" t="str">
        <v>kg N</v>
      </c>
      <c r="I86" s="115" t="str">
        <v>Calculated from 5.5.1.1 (3)</v>
      </c>
      <c r="J86" s="113">
        <f>E74</f>
        <v>240</v>
      </c>
      <c r="N86" s="113" t="str">
        <v>M_leachorganicj</v>
      </c>
      <c r="O86" s="122" t="str">
        <v>mass of nitrogen lost through leaching and runoff from organic fertiliser application</v>
      </c>
      <c r="P86" s="136"/>
      <c r="Q86" s="123"/>
      <c r="R86" s="113" t="str">
        <v>kg N</v>
      </c>
      <c r="S86" s="115" t="str">
        <v>Calculated from 5.5.1.1 (3)</v>
      </c>
      <c r="T86" s="113">
        <f>O74</f>
        <v>480</v>
      </c>
    </row>
    <row r="87" spans="4:20" ht="20.100000000000001" customHeight="1" x14ac:dyDescent="0.2">
      <c r="D87" s="113" t="str">
        <v>EF_leach</v>
      </c>
      <c r="E87" s="122" t="str">
        <v>emission factor for nitrogen leaching and runoff</v>
      </c>
      <c r="F87" s="136"/>
      <c r="G87" s="123"/>
      <c r="H87" s="113" t="str">
        <v>kg N2O-N/kg N</v>
      </c>
      <c r="I87" s="115" t="str">
        <v>Constant</v>
      </c>
      <c r="J87" s="113">
        <f>Fertiliser_EFLeach_Data</f>
        <v>1.0999999999999999E-2</v>
      </c>
      <c r="N87" s="113" t="str">
        <v>EF_leach</v>
      </c>
      <c r="O87" s="122" t="str">
        <v>emission factor for nitrogen leaching and runoff</v>
      </c>
      <c r="P87" s="136"/>
      <c r="Q87" s="123"/>
      <c r="R87" s="113" t="str">
        <v>kg N2O-N/kg N</v>
      </c>
      <c r="S87" s="115" t="str">
        <v>Constant</v>
      </c>
      <c r="T87" s="113"/>
    </row>
    <row r="88" spans="4:20" ht="20.100000000000001" customHeight="1" x14ac:dyDescent="0.2">
      <c r="D88" s="113" t="str">
        <v>C_N2O</v>
      </c>
      <c r="E88" s="122" t="str">
        <v>factor to convert elemental mass of nitrous oxide to molecular mass</v>
      </c>
      <c r="F88" s="136"/>
      <c r="G88" s="123"/>
      <c r="H88" s="113" t="str">
        <v/>
      </c>
      <c r="I88" s="115" t="str">
        <v>Constant</v>
      </c>
      <c r="J88" s="126">
        <f>Common_InputFunctions.Utility_LookupValueInTableNumber("N2O",Table_GasToMolecularConversionFactor[Gas],Table_GasToMolecularConversionFactor[Conversion factor combined])</f>
        <v>1.5714285714285714</v>
      </c>
      <c r="N88" s="113" t="str">
        <v>C_N2O</v>
      </c>
      <c r="O88" s="122" t="str">
        <v>factor to convert elemental mass of nitrous oxide to molecular mass</v>
      </c>
      <c r="P88" s="136"/>
      <c r="Q88" s="123"/>
      <c r="R88" s="113" t="str">
        <v/>
      </c>
      <c r="S88" s="115" t="str">
        <v>Constant</v>
      </c>
      <c r="T88" s="126"/>
    </row>
    <row r="90" spans="4:20" ht="20.100000000000001" customHeight="1" x14ac:dyDescent="0.2">
      <c r="D90" s="85" t="s">
        <v>844</v>
      </c>
      <c r="E90" s="86" cm="1">
        <f t="array" ref="E90">Fertiliser_Equations_LeachingAndRunoff.VEERG_5_5_1_1__1_FertiliserLeachingAndRunoffN2OEmissions(J85,J86,J87,J88)</f>
        <v>4.1485714285714277E-3</v>
      </c>
      <c r="F90" s="95" t="str">
        <f>$E$83</f>
        <v>t N2O</v>
      </c>
      <c r="N90" s="85" t="s">
        <v>844</v>
      </c>
      <c r="O90" s="86" cm="1">
        <f t="array" ref="O90">Fertiliser_Equations_LeachingAndRunoff.VEERG_5_5_1_1__1_FertiliserLeachingAndRunoffN2OEmissions(J85,T86,J87,J88)</f>
        <v>8.2971428571428554E-3</v>
      </c>
      <c r="P90" s="95" t="str">
        <f>$E$83</f>
        <v>t N2O</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5A62-B554-4652-9260-B869336C0EA4}">
  <sheetPr>
    <tabColor theme="2" tint="-0.499984740745262"/>
  </sheetPr>
  <dimension ref="A1:W45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491</v>
      </c>
    </row>
    <row r="2" spans="1:21" s="3" customFormat="1" ht="20.100000000000001" customHeight="1" x14ac:dyDescent="0.2">
      <c r="A2"/>
    </row>
    <row r="3" spans="1:2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D5" s="2" t="str" cm="1">
        <f t="array" ref="D5">SourceData_Poultry.SourceData_Poultry_DietProperties_Title()</f>
        <v>Poultry - Diet properties</v>
      </c>
      <c r="M5" s="1"/>
    </row>
    <row r="6" spans="1:21" ht="20.100000000000001" customHeight="1" x14ac:dyDescent="0.2">
      <c r="D6" s="17" t="str" cm="1">
        <f t="array" ref="D6">SourceData_Poultry.SourceData_Poultry_DietProperties_Source()</f>
        <v>VEERG 2026: Table A.1.7.1: Poultry - Diet properties</v>
      </c>
      <c r="M6" s="1"/>
    </row>
    <row r="7" spans="1:21" ht="20.100000000000001" customHeight="1" x14ac:dyDescent="0.2">
      <c r="M7" s="1"/>
    </row>
    <row r="8" spans="1:21" ht="20.100000000000001" customHeight="1" x14ac:dyDescent="0.2">
      <c r="A8" s="7" t="s">
        <v>0</v>
      </c>
      <c r="D8" s="19" t="s">
        <v>492</v>
      </c>
      <c r="E8" s="19" t="s">
        <v>297</v>
      </c>
      <c r="F8" s="19" t="s">
        <v>298</v>
      </c>
      <c r="G8" s="19" t="s">
        <v>493</v>
      </c>
      <c r="H8" s="19" t="s">
        <v>494</v>
      </c>
      <c r="M8" s="1"/>
    </row>
    <row r="9" spans="1:21" ht="20.100000000000001" customHeight="1" x14ac:dyDescent="0.2">
      <c r="A9" s="5" t="str">
        <f>HYPERLINK("#'Input - Enterprise'!A1", "Enterprise")</f>
        <v>Enterprise</v>
      </c>
      <c r="D9" s="19" t="str" cm="1">
        <f t="array" ref="D9">Common_InputFunctions.Utility_DisplayArrayInTable(SourceData_Poultry.SourceData_Poultry_DietProperties_Data(), Table_SourceData_Poultry_DietProperties[[#Headers],[Nutrient analysis]], 0)</f>
        <v>Dry matter intake (kg/head/day)</v>
      </c>
      <c r="E9" s="19" cm="1">
        <f t="array" ref="E9">Common_InputFunctions.Utility_DisplayArrayInTable(SourceData_Poultry.SourceData_Poultry_DietProperties_Data(), Table_SourceData_Poultry_DietProperties[[#Headers],[Nutrient analysis]], 0)</f>
        <v>8.5999999999999993E-2</v>
      </c>
      <c r="F9" s="19" cm="1">
        <f t="array" ref="F9">Common_InputFunctions.Utility_DisplayArrayInTable(SourceData_Poultry.SourceData_Poultry_DietProperties_Data(), Table_SourceData_Poultry_DietProperties[[#Headers],[Nutrient analysis]], 0)</f>
        <v>9.2999999999999999E-2</v>
      </c>
      <c r="G9" s="19" cm="1">
        <f t="array" ref="G9">Common_InputFunctions.Utility_DisplayArrayInTable(SourceData_Poultry.SourceData_Poultry_DietProperties_Data(), Table_SourceData_Poultry_DietProperties[[#Headers],[Nutrient analysis]], 0)</f>
        <v>0.10299999999999999</v>
      </c>
      <c r="H9" s="19"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
      <c r="A10" s="5" t="str">
        <f>HYPERLINK("#'Input - Site'!A1", "Site")</f>
        <v>Site</v>
      </c>
      <c r="D10" s="1" t="str" cm="1">
        <f t="array" ref="D10">Common_InputFunctions.Utility_DisplayArrayInTable(SourceData_Poultry.SourceData_Poultry_DietProperties_Data(), Table_SourceData_Poultry_DietProperties[[#Headers],[Nutrient analysis]], 0)</f>
        <v>Dry matter digestibility</v>
      </c>
      <c r="E10" s="19" cm="1">
        <f t="array" ref="E10">Common_InputFunctions.Utility_DisplayArrayInTable(SourceData_Poultry.SourceData_Poultry_DietProperties_Data(), Table_SourceData_Poultry_DietProperties[[#Headers],[Nutrient analysis]], 0)</f>
        <v>0.8</v>
      </c>
      <c r="F10" s="19" cm="1">
        <f t="array" ref="F10">Common_InputFunctions.Utility_DisplayArrayInTable(SourceData_Poultry.SourceData_Poultry_DietProperties_Data(), Table_SourceData_Poultry_DietProperties[[#Headers],[Nutrient analysis]], 0)</f>
        <v>0.8</v>
      </c>
      <c r="G10" s="19" cm="1">
        <f t="array" ref="G10">Common_InputFunctions.Utility_DisplayArrayInTable(SourceData_Poultry.SourceData_Poultry_DietProperties_Data(), Table_SourceData_Poultry_DietProperties[[#Headers],[Nutrient analysis]], 0)</f>
        <v>0.8</v>
      </c>
      <c r="H10" s="19"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
      <c r="A11" s="5" t="str">
        <f>HYPERLINK("#'Input - Poultry'!A1", "Poultry")</f>
        <v>Poultry</v>
      </c>
      <c r="D11" s="1" t="str" cm="1">
        <f t="array" ref="D11">Common_InputFunctions.Utility_DisplayArrayInTable(SourceData_Poultry.SourceData_Poultry_DietProperties_Data(), Table_SourceData_Poultry_DietProperties[[#Headers],[Nutrient analysis]], 0)</f>
        <v>Crude protein</v>
      </c>
      <c r="E11" s="19" cm="1">
        <f t="array" ref="E11">Common_InputFunctions.Utility_DisplayArrayInTable(SourceData_Poultry.SourceData_Poultry_DietProperties_Data(), Table_SourceData_Poultry_DietProperties[[#Headers],[Nutrient analysis]], 0)</f>
        <v>0.19</v>
      </c>
      <c r="F11" s="19" cm="1">
        <f t="array" ref="F11">Common_InputFunctions.Utility_DisplayArrayInTable(SourceData_Poultry.SourceData_Poultry_DietProperties_Data(), Table_SourceData_Poultry_DietProperties[[#Headers],[Nutrient analysis]], 0)</f>
        <v>0.23</v>
      </c>
      <c r="G11" s="19" cm="1">
        <f t="array" ref="G11">Common_InputFunctions.Utility_DisplayArrayInTable(SourceData_Poultry.SourceData_Poultry_DietProperties_Data(), Table_SourceData_Poultry_DietProperties[[#Headers],[Nutrient analysis]], 0)</f>
        <v>0.19</v>
      </c>
      <c r="H11" s="19"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
      <c r="A12" s="5" t="str">
        <f>HYPERLINK("#'Input - Livestock sales'!A1", "Livestock sales")</f>
        <v>Livestock sales</v>
      </c>
      <c r="D12" s="1" t="str" cm="1">
        <f t="array" ref="D12">Common_InputFunctions.Utility_DisplayArrayInTable(SourceData_Poultry.SourceData_Poultry_DietProperties_Data(), Table_SourceData_Poultry_DietProperties[[#Headers],[Nutrient analysis]], 0)</f>
        <v>Nitrogen retention rate</v>
      </c>
      <c r="E12" s="19" cm="1">
        <f t="array" ref="E12">Common_InputFunctions.Utility_DisplayArrayInTable(SourceData_Poultry.SourceData_Poultry_DietProperties_Data(), Table_SourceData_Poultry_DietProperties[[#Headers],[Nutrient analysis]], 0)</f>
        <v>0.35</v>
      </c>
      <c r="F12" s="19" cm="1">
        <f t="array" ref="F12">Common_InputFunctions.Utility_DisplayArrayInTable(SourceData_Poultry.SourceData_Poultry_DietProperties_Data(), Table_SourceData_Poultry_DietProperties[[#Headers],[Nutrient analysis]], 0)</f>
        <v>0.47</v>
      </c>
      <c r="G12" s="19" cm="1">
        <f t="array" ref="G12">Common_InputFunctions.Utility_DisplayArrayInTable(SourceData_Poultry.SourceData_Poultry_DietProperties_Data(), Table_SourceData_Poultry_DietProperties[[#Headers],[Nutrient analysis]], 0)</f>
        <v>0.32</v>
      </c>
      <c r="H12" s="19"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
      <c r="A13" s="5" t="str">
        <f>HYPERLINK("#'Input - Poultry purchases'!A1", "Poultry purchases")</f>
        <v>Poultry purchases</v>
      </c>
      <c r="D13" s="1" t="str" cm="1">
        <f t="array" ref="D13">Common_InputFunctions.Utility_DisplayArrayInTable(SourceData_Poultry.SourceData_Poultry_DietProperties_Data(), Table_SourceData_Poultry_DietProperties[[#Headers],[Nutrient analysis]], 0)</f>
        <v>Manure ash</v>
      </c>
      <c r="E13" s="19" cm="1">
        <f t="array" ref="E13">Common_InputFunctions.Utility_DisplayArrayInTable(SourceData_Poultry.SourceData_Poultry_DietProperties_Data(), Table_SourceData_Poultry_DietProperties[[#Headers],[Nutrient analysis]], 0)</f>
        <v>0.18</v>
      </c>
      <c r="F13" s="19" cm="1">
        <f t="array" ref="F13">Common_InputFunctions.Utility_DisplayArrayInTable(SourceData_Poultry.SourceData_Poultry_DietProperties_Data(), Table_SourceData_Poultry_DietProperties[[#Headers],[Nutrient analysis]], 0)</f>
        <v>0.15</v>
      </c>
      <c r="G13" s="19" cm="1">
        <f t="array" ref="G13">Common_InputFunctions.Utility_DisplayArrayInTable(SourceData_Poultry.SourceData_Poultry_DietProperties_Data(), Table_SourceData_Poultry_DietProperties[[#Headers],[Nutrient analysis]], 0)</f>
        <v>0.18</v>
      </c>
      <c r="H13" s="19"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
      <c r="A14" s="5" t="str">
        <f>HYPERLINK("#'Input - Fuel'!A1", "Fuel")</f>
        <v>Fuel</v>
      </c>
      <c r="M14" s="1"/>
    </row>
    <row r="15" spans="1:21" ht="20.100000000000001" customHeight="1" x14ac:dyDescent="0.2">
      <c r="A15" s="5" t="str">
        <f>HYPERLINK("#'Input - Electricity'!A1", "Electricity")</f>
        <v>Electricity</v>
      </c>
      <c r="M15" s="1"/>
    </row>
    <row r="16" spans="1:21" ht="20.100000000000001" customHeight="1" x14ac:dyDescent="0.2">
      <c r="A16" s="5" t="str">
        <f>HYPERLINK("#'Input - Common farm inputs'!A1", "Common farm inputs")</f>
        <v>Common farm inputs</v>
      </c>
      <c r="M16" s="1"/>
    </row>
    <row r="17" spans="1:13" ht="20.100000000000001" customHeight="1" x14ac:dyDescent="0.2">
      <c r="A17" s="5" t="str">
        <f>HYPERLINK("#'Input - Livestock farm Inputs'!A1", "Livestock farm Inputs")</f>
        <v>Livestock farm Inputs</v>
      </c>
      <c r="D17" s="2" t="str" cm="1">
        <f t="array" ref="D17">SourceData_Poultry.SourceData_Poultry_MethaneEmissionsPotential_Title()</f>
        <v>Poultry - Methane emissions potential per class</v>
      </c>
      <c r="M17" s="1"/>
    </row>
    <row r="18" spans="1:13" ht="20.100000000000001" customHeight="1" x14ac:dyDescent="0.2">
      <c r="A18" s="5" t="str">
        <f>HYPERLINK("#'Input - Freight'!A1", "Freight")</f>
        <v>Freight</v>
      </c>
      <c r="D18" s="17" t="str" cm="1">
        <f t="array" ref="D18">SourceData_Poultry.SourceData_Poultry_MethaneEmissionsPotential_Source()</f>
        <v>VEERG 2026: 4.6.2.3 CONSTANT: Poultry - Methane emissions potential per class</v>
      </c>
      <c r="M18" s="1"/>
    </row>
    <row r="19" spans="1:13" ht="20.100000000000001" customHeight="1" x14ac:dyDescent="0.2">
      <c r="A19" s="5" t="str">
        <f>HYPERLINK("#'Input - Solid waste'!A1", "Solid waste")</f>
        <v>Solid waste</v>
      </c>
      <c r="D19" s="19" t="s">
        <v>495</v>
      </c>
      <c r="E19" s="19" t="s">
        <v>496</v>
      </c>
      <c r="M19" s="1"/>
    </row>
    <row r="20" spans="1:13" ht="20.100000000000001" customHeight="1" x14ac:dyDescent="0.2">
      <c r="A20" s="5" t="str">
        <f>HYPERLINK("#'Input - Manure sent off-site'!A1", "Manure sent off-site")</f>
        <v>Manure sent off-site</v>
      </c>
      <c r="D20" s="19" t="str" cm="1">
        <f t="array" ref="D20">Common_InputFunctions.Utility_DisplayArrayInTable(SourceData_Poultry.SourceData_Poultry_MethaneEmissionsPotential_Data(), Table_SourceData_Poultry_MethaneEmissionsPotential[[#Headers],[Poultry class]], 0)</f>
        <v>Layers</v>
      </c>
      <c r="E20" s="19"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
      <c r="A21" s="5" t="str">
        <f>HYPERLINK("#'Input - Data quality'!A1", "Data quality")</f>
        <v>Data quality</v>
      </c>
      <c r="D21" s="1" t="str" cm="1">
        <f t="array" ref="D21">Common_InputFunctions.Utility_DisplayArrayInTable(SourceData_Poultry.SourceData_Poultry_MethaneEmissionsPotential_Data(), Table_SourceData_Poultry_MethaneEmissionsPotential[[#Headers],[Poultry class]], 0)</f>
        <v>Meat chickens</v>
      </c>
      <c r="E21" s="19"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
      <c r="A22" s="5" t="str">
        <f>HYPERLINK("#'Input - Fert Prod System'!A1", "Fert Prod System")</f>
        <v>Fert Prod System</v>
      </c>
      <c r="M22" s="1"/>
    </row>
    <row r="23" spans="1:13" ht="20.100000000000001" customHeight="1" x14ac:dyDescent="0.2">
      <c r="A23" s="5" t="str">
        <f>HYPERLINK("#'Input - Fertiliser'!A1", "Fertiliser")</f>
        <v>Fertiliser</v>
      </c>
      <c r="M23" s="1"/>
    </row>
    <row r="24" spans="1:13" ht="20.100000000000001" customHeight="1" x14ac:dyDescent="0.2">
      <c r="M24" s="1"/>
    </row>
    <row r="25" spans="1:13" ht="20.100000000000001" customHeight="1" x14ac:dyDescent="0.2">
      <c r="M25" s="1"/>
    </row>
    <row r="26" spans="1:13" ht="20.100000000000001" customHeight="1" x14ac:dyDescent="0.2">
      <c r="A26" s="6" t="s">
        <v>2</v>
      </c>
      <c r="D26" s="2" t="s">
        <v>497</v>
      </c>
      <c r="G26" s="2" t="s">
        <v>498</v>
      </c>
      <c r="J26" s="2" t="s">
        <v>499</v>
      </c>
      <c r="M26" s="1"/>
    </row>
    <row r="27" spans="1:13" ht="20.100000000000001" customHeight="1" x14ac:dyDescent="0.2">
      <c r="A27" s="5" t="str">
        <f>HYPERLINK("#'4.6.1.1-2 Methane'!A1", "4.6.1.1-2 Manure Methane")</f>
        <v>4.6.1.1-2 Manure Methane</v>
      </c>
      <c r="M27" s="1"/>
    </row>
    <row r="28" spans="1:13" ht="20.100000000000001" customHeight="1" x14ac:dyDescent="0.2">
      <c r="A28" s="5" t="str">
        <f>HYPERLINK("#'4.6.1.3-4 Direct N20'!A1", "4.6.1.3-4 Manure Direct N2O")</f>
        <v>4.6.1.3-4 Manure Direct N2O</v>
      </c>
      <c r="D28" s="137" t="s">
        <v>350</v>
      </c>
      <c r="E28" s="19" t="s">
        <v>500</v>
      </c>
      <c r="G28" s="137" t="s">
        <v>350</v>
      </c>
      <c r="H28" s="19" t="s">
        <v>500</v>
      </c>
      <c r="J28" s="137" t="s">
        <v>350</v>
      </c>
      <c r="K28" s="19" t="s">
        <v>500</v>
      </c>
      <c r="M28" s="1"/>
    </row>
    <row r="29" spans="1:13" ht="20.100000000000001" customHeight="1" x14ac:dyDescent="0.2">
      <c r="A29" s="5" t="str">
        <f>HYPERLINK("#'4.6.1.5-6 Atmos Dep'!A1", "4.6.1.5-6 Manure Atmos Dep")</f>
        <v>4.6.1.5-6 Manure Atmos Dep</v>
      </c>
      <c r="D29" s="19" t="s">
        <v>78</v>
      </c>
      <c r="E29" s="19" t="s">
        <v>501</v>
      </c>
      <c r="G29" s="19" t="s">
        <v>78</v>
      </c>
      <c r="H29" s="19" t="s">
        <v>501</v>
      </c>
      <c r="J29" s="19" t="s">
        <v>75</v>
      </c>
      <c r="K29" s="19" t="s">
        <v>502</v>
      </c>
      <c r="M29" s="1"/>
    </row>
    <row r="30" spans="1:13" ht="20.100000000000001" customHeight="1" x14ac:dyDescent="0.2">
      <c r="A30" s="5" t="str">
        <f>HYPERLINK("#'4.6.1.7-8 Leaching and runoff'!A1", "4.6.1.7-8 Manure Leaching and runoff")</f>
        <v>4.6.1.7-8 Manure Leaching and runoff</v>
      </c>
      <c r="D30" s="19" t="s">
        <v>503</v>
      </c>
      <c r="E30" s="19" t="s">
        <v>504</v>
      </c>
      <c r="G30" s="19" t="s">
        <v>503</v>
      </c>
      <c r="H30" s="19" t="s">
        <v>504</v>
      </c>
      <c r="J30" s="19" t="s">
        <v>74</v>
      </c>
      <c r="K30" s="19" t="s">
        <v>505</v>
      </c>
      <c r="M30" s="1"/>
    </row>
    <row r="31" spans="1:13" ht="20.100000000000001" customHeight="1" x14ac:dyDescent="0.2">
      <c r="A31" s="5" t="str">
        <f>HYPERLINK("#'4.6.1.9 Manure applied to soils'!A1", "4.6.1.9 Manure applied to soils")</f>
        <v>4.6.1.9 Manure applied to soils</v>
      </c>
      <c r="D31" s="19" t="s">
        <v>506</v>
      </c>
      <c r="E31" s="19" t="s">
        <v>507</v>
      </c>
      <c r="G31" s="19" t="s">
        <v>506</v>
      </c>
      <c r="H31" s="19" t="s">
        <v>507</v>
      </c>
      <c r="J31" s="1" t="s">
        <v>71</v>
      </c>
      <c r="K31" s="1" t="s">
        <v>508</v>
      </c>
      <c r="M31" s="1"/>
    </row>
    <row r="32" spans="1:13" ht="20.100000000000001" customHeight="1" x14ac:dyDescent="0.2">
      <c r="A32" s="5" t="str">
        <f>HYPERLINK("#'4.6.1.10-11 Soil direct N2O'!A1", "4.6.1.10-11 Soil direct N2O")</f>
        <v>4.6.1.10-11 Soil direct N2O</v>
      </c>
      <c r="D32" s="19" t="s">
        <v>82</v>
      </c>
      <c r="E32" s="19" t="s">
        <v>509</v>
      </c>
      <c r="G32" s="19" t="s">
        <v>82</v>
      </c>
      <c r="H32" s="19" t="s">
        <v>509</v>
      </c>
      <c r="J32" s="19" t="s">
        <v>80</v>
      </c>
      <c r="K32" s="19" t="s">
        <v>510</v>
      </c>
      <c r="M32" s="1"/>
    </row>
    <row r="33" spans="1:13" ht="20.100000000000001" customHeight="1" x14ac:dyDescent="0.2">
      <c r="A33" s="5" t="str">
        <f>HYPERLINK("#'4.6.1.12-13 Soil atmos dep'!A1", "4.6.1.12-13 Soil atmos dep")</f>
        <v>4.6.1.12-13 Soil atmos dep</v>
      </c>
      <c r="D33" s="19" t="s">
        <v>75</v>
      </c>
      <c r="E33" s="19" t="s">
        <v>502</v>
      </c>
      <c r="G33" s="1" t="s">
        <v>511</v>
      </c>
      <c r="H33" s="19" t="s">
        <v>511</v>
      </c>
      <c r="J33" s="19" t="s">
        <v>81</v>
      </c>
      <c r="K33" s="19" t="s">
        <v>512</v>
      </c>
      <c r="M33" s="1"/>
    </row>
    <row r="34" spans="1:13" ht="20.100000000000001" customHeight="1" x14ac:dyDescent="0.2">
      <c r="A34" s="5" t="str">
        <f>HYPERLINK("#'4.6.1.14-15 Soil leach runoff'!A1", "4.6.1.14-15 Soil leach runoff")</f>
        <v>4.6.1.14-15 Soil leach runoff</v>
      </c>
      <c r="D34" s="19" t="s">
        <v>74</v>
      </c>
      <c r="E34" s="19" t="s">
        <v>505</v>
      </c>
      <c r="J34" s="1" t="s">
        <v>511</v>
      </c>
      <c r="K34" s="19" t="s">
        <v>511</v>
      </c>
      <c r="M34" s="1"/>
    </row>
    <row r="35" spans="1:13" ht="20.100000000000001" customHeight="1" x14ac:dyDescent="0.2">
      <c r="A35" s="5" t="str">
        <f>HYPERLINK("#'8.1.1.1-2 Transport fuel'!A1", "8.1.1.1-2 Transport fuel")</f>
        <v>8.1.1.1-2 Transport fuel</v>
      </c>
      <c r="D35" s="1" t="s">
        <v>71</v>
      </c>
      <c r="E35" s="1" t="s">
        <v>508</v>
      </c>
      <c r="M35" s="1"/>
    </row>
    <row r="36" spans="1:13" ht="20.100000000000001" customHeight="1" x14ac:dyDescent="0.2">
      <c r="A36" s="5" t="str">
        <f>HYPERLINK("#'8.2.1.1-2 Stationary fuel'!A1", "8.2.1.1-2 Stationary fuel")</f>
        <v>8.2.1.1-2 Stationary fuel</v>
      </c>
      <c r="D36" s="19" t="s">
        <v>80</v>
      </c>
      <c r="E36" s="19" t="s">
        <v>510</v>
      </c>
      <c r="M36" s="1"/>
    </row>
    <row r="37" spans="1:13" ht="20.100000000000001" customHeight="1" x14ac:dyDescent="0.2">
      <c r="A37" s="5" t="str">
        <f>HYPERLINK("#'10.1.1-2 Solid waste treatment'!A1", "10.1.1.1-2 Solid waste")</f>
        <v>10.1.1.1-2 Solid waste</v>
      </c>
      <c r="D37" s="19" t="s">
        <v>81</v>
      </c>
      <c r="E37" s="19" t="s">
        <v>512</v>
      </c>
      <c r="M37" s="1"/>
    </row>
    <row r="38" spans="1:13" ht="20.100000000000001" customHeight="1" x14ac:dyDescent="0.2">
      <c r="A38" s="5" t="str">
        <f>HYPERLINK("#'14.1.1-2 Purchased electricity'!A1", "14.1.1-2 Purchased electricity")</f>
        <v>14.1.1-2 Purchased electricity</v>
      </c>
      <c r="D38" s="1" t="s">
        <v>511</v>
      </c>
      <c r="E38" s="19" t="s">
        <v>511</v>
      </c>
      <c r="M38" s="1"/>
    </row>
    <row r="39" spans="1:13" ht="20.100000000000001" customHeight="1" x14ac:dyDescent="0.2">
      <c r="A39" s="5" t="str">
        <f>HYPERLINK("#'15 Scope 3'!A1", "15 Scope 3")</f>
        <v>15 Scope 3</v>
      </c>
      <c r="M39" s="1"/>
    </row>
    <row r="40" spans="1:13" ht="20.100000000000001" customHeight="1" x14ac:dyDescent="0.2">
      <c r="A40" s="5" t="str">
        <f>HYPERLINK("#'Calcs - Manure sent off-site'!A1", "Calcs - Manure sent off-site")</f>
        <v>Calcs - Manure sent off-site</v>
      </c>
      <c r="M40" s="1"/>
    </row>
    <row r="41" spans="1:13" ht="20.100000000000001" customHeight="1" x14ac:dyDescent="0.2">
      <c r="A41" s="5" t="str">
        <f>HYPERLINK("#'5.1.1.1-2 Inorganic fert N2O'!A1", "5.1.1.1-2 Inorganic fert N2O")</f>
        <v>5.1.1.1-2 Inorganic fert N2O</v>
      </c>
      <c r="M41" s="1"/>
    </row>
    <row r="42" spans="1:13" ht="20.100000000000001" customHeight="1" x14ac:dyDescent="0.2">
      <c r="A42" s="5" t="str">
        <f>HYPERLINK("#'5.1.1.3-4 Inorganic fert CO2'!A1", "5.1.1.3-4 Inorganic fert CO2")</f>
        <v>5.1.1.3-4 Inorganic fert CO2</v>
      </c>
      <c r="D42" s="2" t="s">
        <v>513</v>
      </c>
      <c r="G42" s="2" t="s">
        <v>514</v>
      </c>
      <c r="J42" s="2" t="s">
        <v>515</v>
      </c>
      <c r="M42" s="1"/>
    </row>
    <row r="43" spans="1:13" ht="20.100000000000001" customHeight="1" x14ac:dyDescent="0.2">
      <c r="A43" s="5" t="str">
        <f>HYPERLINK("#'5.2.1.1-2 Organic Fert N2O'!A1", "5.2.1.1-2 Organic Fert N2O")</f>
        <v>5.2.1.1-2 Organic Fert N2O</v>
      </c>
      <c r="M43" s="1"/>
    </row>
    <row r="44" spans="1:13" ht="20.100000000000001" customHeight="1" x14ac:dyDescent="0.2">
      <c r="A44" s="5" t="str">
        <f>HYPERLINK("#'5.3.1.1-2 Lime CO2'!A1", "5.3.1.1-2 Lime CO2")</f>
        <v>5.3.1.1-2 Lime CO2</v>
      </c>
      <c r="D44" s="19" t="s">
        <v>311</v>
      </c>
      <c r="G44" s="19" t="s">
        <v>311</v>
      </c>
      <c r="J44" s="19" t="s">
        <v>63</v>
      </c>
      <c r="M44" s="1"/>
    </row>
    <row r="45" spans="1:13" ht="20.100000000000001" customHeight="1" x14ac:dyDescent="0.2">
      <c r="A45" s="5" t="str">
        <f>HYPERLINK("#'5.4.1.1-4 Atmos deposition'!A1", "5.4.1.1-4 Atmos deposition")</f>
        <v>5.4.1.1-4 Atmos deposition</v>
      </c>
      <c r="D45" s="19" t="str" cm="1">
        <f t="array" ref="D45">Common_InputFunctions.Utility_DisplayArrayInTable(SourceData_Poultry.SourceData_Poultry_ProductionSystems_Data(), Table_SourceData_Poultry_ProductionSystems[[#Headers],[Production system]], 0)</f>
        <v>Free range</v>
      </c>
      <c r="G45" s="19" t="str">
        <f>'Constants - Common'!$F$187</f>
        <v>Pasture</v>
      </c>
      <c r="J45" s="19" t="s">
        <v>516</v>
      </c>
      <c r="M45" s="1"/>
    </row>
    <row r="46" spans="1:13" ht="20.100000000000001" customHeight="1" x14ac:dyDescent="0.2">
      <c r="A46" s="5" t="str">
        <f>HYPERLINK("#'5.5.1.1-2 Leaching and runoff'!A1", "5.5.1.1-2 Leaching and runoff")</f>
        <v>5.5.1.1-2 Leaching and runoff</v>
      </c>
      <c r="D46" s="1" t="str" cm="1">
        <f t="array" ref="D46">Common_InputFunctions.Utility_DisplayArrayInTable(SourceData_Poultry.SourceData_Poultry_ProductionSystems_Data(), Table_SourceData_Poultry_ProductionSystems[[#Headers],[Production system]], 0)</f>
        <v>Barn</v>
      </c>
      <c r="G46" s="1" t="str">
        <f>'Constants - Common'!$F$188</f>
        <v>Crop</v>
      </c>
      <c r="J46" s="19" t="s">
        <v>517</v>
      </c>
      <c r="M46" s="1"/>
    </row>
    <row r="47" spans="1:13" ht="20.100000000000001" customHeight="1" x14ac:dyDescent="0.2">
      <c r="D47" s="1" t="str" cm="1">
        <f t="array" ref="D47">Common_InputFunctions.Utility_DisplayArrayInTable(SourceData_Poultry.SourceData_Poultry_ProductionSystems_Data(), Table_SourceData_Poultry_ProductionSystems[[#Headers],[Production system]], 0)</f>
        <v>Cage</v>
      </c>
      <c r="J47" s="1" t="s">
        <v>326</v>
      </c>
      <c r="M47" s="1"/>
    </row>
    <row r="48" spans="1:13" ht="20.100000000000001" customHeight="1" x14ac:dyDescent="0.2">
      <c r="J48" s="1" t="s">
        <v>518</v>
      </c>
      <c r="M48" s="1"/>
    </row>
    <row r="49" spans="1:14" ht="20.100000000000001" customHeight="1" x14ac:dyDescent="0.2">
      <c r="A49" s="80" t="s">
        <v>1</v>
      </c>
      <c r="J49" s="1" t="s">
        <v>519</v>
      </c>
      <c r="M49" s="1"/>
    </row>
    <row r="50" spans="1:14" ht="20.100000000000001" customHeight="1" x14ac:dyDescent="0.2">
      <c r="A50" s="81" t="str">
        <f>HYPERLINK("#'Constants - Poultry'!A1", "Constants - Poultry")</f>
        <v>Constants - Poultry</v>
      </c>
      <c r="M50" s="1"/>
    </row>
    <row r="51" spans="1:14" ht="20.100000000000001" customHeight="1" x14ac:dyDescent="0.2">
      <c r="A51" s="5" t="str">
        <f>HYPERLINK("#'Constants - Common livestock'!A1", "Constants - Common Livestock")</f>
        <v>Constants - Common Livestock</v>
      </c>
      <c r="D51" s="2" t="str" cm="1">
        <f t="array" ref="D51">SourceData_Poultry.SourceData_Poultry_MCF_Title()</f>
        <v>Poultry - MCFs</v>
      </c>
      <c r="M51" s="1"/>
    </row>
    <row r="52" spans="1:14" ht="20.100000000000001" customHeight="1" x14ac:dyDescent="0.2">
      <c r="A52" s="5" t="str">
        <f>HYPERLINK("#'Constants - Electricity'!A1", "Constants - Electricity")</f>
        <v>Constants - Electricity</v>
      </c>
      <c r="D52" s="17" t="str" cm="1">
        <f t="array" ref="D52">SourceData_Poultry.SourceData_Poultry_MCF_Source()</f>
        <v>VEERG 2026: Table A.1.7.4: Poultry - MCFs</v>
      </c>
      <c r="M52" s="1"/>
    </row>
    <row r="53" spans="1:14" ht="20.100000000000001" customHeight="1" x14ac:dyDescent="0.2">
      <c r="A53" s="5" t="str">
        <f>HYPERLINK("#'Constants - Fertiliser'!A1", "Constants - Fertiliser")</f>
        <v>Constants - Fertiliser</v>
      </c>
      <c r="D53" s="25" t="str" cm="1">
        <f t="array" ref="D53:D57">SourceData_Poultry.SourceData_Poultry_MCF_Variation()</f>
        <v>VARIATION ON SOURCE:</v>
      </c>
      <c r="M53" s="1"/>
    </row>
    <row r="54" spans="1:14" ht="20.100000000000001" customHeight="1" x14ac:dyDescent="0.2">
      <c r="A54" s="5" t="str">
        <f>HYPERLINK("#'Constants - Fuel'!A1", "Constants - Fuel")</f>
        <v>Constants - Fuel</v>
      </c>
      <c r="D54" s="25" t="str">
        <v>Split NSW and ACT into separate states. Split QLD and NT into separate states.</v>
      </c>
      <c r="M54" s="1"/>
    </row>
    <row r="55" spans="1:14" ht="20.100000000000001" customHeight="1" x14ac:dyDescent="0.2">
      <c r="A55" s="5" t="str">
        <f>HYPERLINK("#'Constants - Scope 3'!A1", "Constants - Scope 3")</f>
        <v>Constants - Scope 3</v>
      </c>
      <c r="D55" s="25" t="str">
        <v>Included values for each state when 'All states' value is given.</v>
      </c>
      <c r="M55" s="1"/>
    </row>
    <row r="56" spans="1:14" ht="20.100000000000001" customHeight="1" x14ac:dyDescent="0.2">
      <c r="A56" s="5" t="str">
        <f>HYPERLINK("#'Constants - Solid Waste'!A1", "Constants - Solid Waste")</f>
        <v>Constants - Solid Waste</v>
      </c>
      <c r="D56" s="25" t="str">
        <v>Added 'NIR definition' column with MMS names that match NIR definitions.</v>
      </c>
      <c r="M56" s="1"/>
    </row>
    <row r="57" spans="1:14" ht="20.100000000000001" customHeight="1" x14ac:dyDescent="0.2">
      <c r="A57" s="5" t="str">
        <f>HYPERLINK("#'Constants - Common'!A1", "Constants - Common")</f>
        <v>Constants - Common</v>
      </c>
      <c r="D57" s="25" t="str">
        <v>Duplicated 'Poultry manure without litter' row for NIR MMS 'Belt manure removal' and 'Manure stored in house'</v>
      </c>
      <c r="M57" s="1"/>
    </row>
    <row r="58" spans="1:14" ht="20.100000000000001" customHeight="1" x14ac:dyDescent="0.2">
      <c r="M58" s="1"/>
    </row>
    <row r="59" spans="1:14" ht="20.100000000000001" customHeight="1" x14ac:dyDescent="0.2">
      <c r="D59" s="19" t="s">
        <v>520</v>
      </c>
      <c r="E59" s="19" t="s">
        <v>521</v>
      </c>
      <c r="F59" s="19" t="s">
        <v>522</v>
      </c>
      <c r="G59" s="19" t="s">
        <v>523</v>
      </c>
      <c r="H59" s="19" t="s">
        <v>524</v>
      </c>
      <c r="I59" s="19" t="s">
        <v>525</v>
      </c>
      <c r="J59" s="19" t="s">
        <v>526</v>
      </c>
      <c r="K59" s="19" t="s">
        <v>527</v>
      </c>
      <c r="L59" s="19" t="s">
        <v>528</v>
      </c>
      <c r="M59" s="19" t="s">
        <v>529</v>
      </c>
      <c r="N59" s="19" t="s">
        <v>530</v>
      </c>
    </row>
    <row r="60" spans="1:14" ht="20.100000000000001" customHeight="1" x14ac:dyDescent="0.2">
      <c r="D60" s="19" t="str" cm="1">
        <f t="array" ref="D60">Common_InputFunctions.Utility_DisplayArrayInTable(SourceData_Poultry.SourceData_Poultry_MCF_Data(), Table_SourceData_Poultry_MMSMCF[[#Headers],[MMS m]], 0)</f>
        <v>Poultry manure with litter</v>
      </c>
      <c r="E60" s="19" cm="1">
        <f t="array" ref="E60">Common_InputFunctions.Utility_DisplayArrayInTable(SourceData_Poultry.SourceData_Poultry_MCF_Data(), Table_SourceData_Poultry_MMSMCF[[#Headers],[MMS m]], 0)</f>
        <v>1.4999999999999999E-2</v>
      </c>
      <c r="F60" s="19" cm="1">
        <f t="array" ref="F60">Common_InputFunctions.Utility_DisplayArrayInTable(SourceData_Poultry.SourceData_Poultry_MCF_Data(), Table_SourceData_Poultry_MMSMCF[[#Headers],[MMS m]], 0)</f>
        <v>1.4999999999999999E-2</v>
      </c>
      <c r="G60" s="19" cm="1">
        <f t="array" ref="G60">Common_InputFunctions.Utility_DisplayArrayInTable(SourceData_Poultry.SourceData_Poultry_MCF_Data(), Table_SourceData_Poultry_MMSMCF[[#Headers],[MMS m]], 0)</f>
        <v>1.4999999999999999E-2</v>
      </c>
      <c r="H60" s="19" cm="1">
        <f t="array" ref="H60">Common_InputFunctions.Utility_DisplayArrayInTable(SourceData_Poultry.SourceData_Poultry_MCF_Data(), Table_SourceData_Poultry_MMSMCF[[#Headers],[MMS m]], 0)</f>
        <v>1.4999999999999999E-2</v>
      </c>
      <c r="I60" s="19" cm="1">
        <f t="array" ref="I60">Common_InputFunctions.Utility_DisplayArrayInTable(SourceData_Poultry.SourceData_Poultry_MCF_Data(), Table_SourceData_Poultry_MMSMCF[[#Headers],[MMS m]], 0)</f>
        <v>1.4999999999999999E-2</v>
      </c>
      <c r="J60" s="19" cm="1">
        <f t="array" ref="J60">Common_InputFunctions.Utility_DisplayArrayInTable(SourceData_Poultry.SourceData_Poultry_MCF_Data(), Table_SourceData_Poultry_MMSMCF[[#Headers],[MMS m]], 0)</f>
        <v>1.4999999999999999E-2</v>
      </c>
      <c r="K60" s="19" cm="1">
        <f t="array" ref="K60">Common_InputFunctions.Utility_DisplayArrayInTable(SourceData_Poultry.SourceData_Poultry_MCF_Data(), Table_SourceData_Poultry_MMSMCF[[#Headers],[MMS m]], 0)</f>
        <v>1.4999999999999999E-2</v>
      </c>
      <c r="L60" s="19" cm="1">
        <f t="array" ref="L60">Common_InputFunctions.Utility_DisplayArrayInTable(SourceData_Poultry.SourceData_Poultry_MCF_Data(), Table_SourceData_Poultry_MMSMCF[[#Headers],[MMS m]], 0)</f>
        <v>1.4999999999999999E-2</v>
      </c>
      <c r="M60" s="19" cm="1">
        <f t="array" ref="M60">Common_InputFunctions.Utility_DisplayArrayInTable(SourceData_Poultry.SourceData_Poultry_MCF_Data(), Table_SourceData_Poultry_MMSMCF[[#Headers],[MMS m]], 0)</f>
        <v>1.4999999999999999E-2</v>
      </c>
      <c r="N60" s="19" t="str" cm="1">
        <f t="array" ref="N60">Common_InputFunctions.Utility_DisplayArrayInTable(SourceData_Poultry.SourceData_Poultry_MCF_Data(), Table_SourceData_Poultry_MMSMCF[[#Headers],[MMS m]], 0)</f>
        <v>Poultry manure with bedding</v>
      </c>
    </row>
    <row r="61" spans="1:14" ht="20.100000000000001" customHeight="1" x14ac:dyDescent="0.2">
      <c r="D61" s="1" t="str" cm="1">
        <f t="array" ref="D61">Common_InputFunctions.Utility_DisplayArrayInTable(SourceData_Poultry.SourceData_Poultry_MCF_Data(), Table_SourceData_Poultry_MMSMCF[[#Headers],[MMS m]], 0)</f>
        <v>Poultry manure without litter</v>
      </c>
      <c r="E61" s="19" cm="1">
        <f t="array" ref="E61">Common_InputFunctions.Utility_DisplayArrayInTable(SourceData_Poultry.SourceData_Poultry_MCF_Data(), Table_SourceData_Poultry_MMSMCF[[#Headers],[MMS m]], 0)</f>
        <v>1.4999999999999999E-2</v>
      </c>
      <c r="F61" s="19" cm="1">
        <f t="array" ref="F61">Common_InputFunctions.Utility_DisplayArrayInTable(SourceData_Poultry.SourceData_Poultry_MCF_Data(), Table_SourceData_Poultry_MMSMCF[[#Headers],[MMS m]], 0)</f>
        <v>1.4999999999999999E-2</v>
      </c>
      <c r="G61" s="19" cm="1">
        <f t="array" ref="G61">Common_InputFunctions.Utility_DisplayArrayInTable(SourceData_Poultry.SourceData_Poultry_MCF_Data(), Table_SourceData_Poultry_MMSMCF[[#Headers],[MMS m]], 0)</f>
        <v>1.4999999999999999E-2</v>
      </c>
      <c r="H61" s="19" cm="1">
        <f t="array" ref="H61">Common_InputFunctions.Utility_DisplayArrayInTable(SourceData_Poultry.SourceData_Poultry_MCF_Data(), Table_SourceData_Poultry_MMSMCF[[#Headers],[MMS m]], 0)</f>
        <v>1.4999999999999999E-2</v>
      </c>
      <c r="I61" s="19" cm="1">
        <f t="array" ref="I61">Common_InputFunctions.Utility_DisplayArrayInTable(SourceData_Poultry.SourceData_Poultry_MCF_Data(), Table_SourceData_Poultry_MMSMCF[[#Headers],[MMS m]], 0)</f>
        <v>1.4999999999999999E-2</v>
      </c>
      <c r="J61" s="19" cm="1">
        <f t="array" ref="J61">Common_InputFunctions.Utility_DisplayArrayInTable(SourceData_Poultry.SourceData_Poultry_MCF_Data(), Table_SourceData_Poultry_MMSMCF[[#Headers],[MMS m]], 0)</f>
        <v>1.4999999999999999E-2</v>
      </c>
      <c r="K61" s="19" cm="1">
        <f t="array" ref="K61">Common_InputFunctions.Utility_DisplayArrayInTable(SourceData_Poultry.SourceData_Poultry_MCF_Data(), Table_SourceData_Poultry_MMSMCF[[#Headers],[MMS m]], 0)</f>
        <v>1.4999999999999999E-2</v>
      </c>
      <c r="L61" s="19" cm="1">
        <f t="array" ref="L61">Common_InputFunctions.Utility_DisplayArrayInTable(SourceData_Poultry.SourceData_Poultry_MCF_Data(), Table_SourceData_Poultry_MMSMCF[[#Headers],[MMS m]], 0)</f>
        <v>1.4999999999999999E-2</v>
      </c>
      <c r="M61" s="19" cm="1">
        <f t="array" ref="M61">Common_InputFunctions.Utility_DisplayArrayInTable(SourceData_Poultry.SourceData_Poultry_MCF_Data(), Table_SourceData_Poultry_MMSMCF[[#Headers],[MMS m]], 0)</f>
        <v>1.4999999999999999E-2</v>
      </c>
      <c r="N61" s="19" t="str" cm="1">
        <f t="array" ref="N61">Common_InputFunctions.Utility_DisplayArrayInTable(SourceData_Poultry.SourceData_Poultry_MCF_Data(), Table_SourceData_Poultry_MMSMCF[[#Headers],[MMS m]], 0)</f>
        <v>Belt manure removal</v>
      </c>
    </row>
    <row r="62" spans="1:14" ht="20.100000000000001" customHeight="1" x14ac:dyDescent="0.2">
      <c r="D62" s="1" t="str" cm="1">
        <f t="array" ref="D62">Common_InputFunctions.Utility_DisplayArrayInTable(SourceData_Poultry.SourceData_Poultry_MCF_Data(), Table_SourceData_Poultry_MMSMCF[[#Headers],[MMS m]], 0)</f>
        <v>Poultry manure without litter</v>
      </c>
      <c r="E62" s="19" cm="1">
        <f t="array" ref="E62">Common_InputFunctions.Utility_DisplayArrayInTable(SourceData_Poultry.SourceData_Poultry_MCF_Data(), Table_SourceData_Poultry_MMSMCF[[#Headers],[MMS m]], 0)</f>
        <v>1.4999999999999999E-2</v>
      </c>
      <c r="F62" s="19" cm="1">
        <f t="array" ref="F62">Common_InputFunctions.Utility_DisplayArrayInTable(SourceData_Poultry.SourceData_Poultry_MCF_Data(), Table_SourceData_Poultry_MMSMCF[[#Headers],[MMS m]], 0)</f>
        <v>1.4999999999999999E-2</v>
      </c>
      <c r="G62" s="19" cm="1">
        <f t="array" ref="G62">Common_InputFunctions.Utility_DisplayArrayInTable(SourceData_Poultry.SourceData_Poultry_MCF_Data(), Table_SourceData_Poultry_MMSMCF[[#Headers],[MMS m]], 0)</f>
        <v>1.4999999999999999E-2</v>
      </c>
      <c r="H62" s="19" cm="1">
        <f t="array" ref="H62">Common_InputFunctions.Utility_DisplayArrayInTable(SourceData_Poultry.SourceData_Poultry_MCF_Data(), Table_SourceData_Poultry_MMSMCF[[#Headers],[MMS m]], 0)</f>
        <v>1.4999999999999999E-2</v>
      </c>
      <c r="I62" s="19" cm="1">
        <f t="array" ref="I62">Common_InputFunctions.Utility_DisplayArrayInTable(SourceData_Poultry.SourceData_Poultry_MCF_Data(), Table_SourceData_Poultry_MMSMCF[[#Headers],[MMS m]], 0)</f>
        <v>1.4999999999999999E-2</v>
      </c>
      <c r="J62" s="19" cm="1">
        <f t="array" ref="J62">Common_InputFunctions.Utility_DisplayArrayInTable(SourceData_Poultry.SourceData_Poultry_MCF_Data(), Table_SourceData_Poultry_MMSMCF[[#Headers],[MMS m]], 0)</f>
        <v>1.4999999999999999E-2</v>
      </c>
      <c r="K62" s="19" cm="1">
        <f t="array" ref="K62">Common_InputFunctions.Utility_DisplayArrayInTable(SourceData_Poultry.SourceData_Poultry_MCF_Data(), Table_SourceData_Poultry_MMSMCF[[#Headers],[MMS m]], 0)</f>
        <v>1.4999999999999999E-2</v>
      </c>
      <c r="L62" s="19" cm="1">
        <f t="array" ref="L62">Common_InputFunctions.Utility_DisplayArrayInTable(SourceData_Poultry.SourceData_Poultry_MCF_Data(), Table_SourceData_Poultry_MMSMCF[[#Headers],[MMS m]], 0)</f>
        <v>1.4999999999999999E-2</v>
      </c>
      <c r="M62" s="19" cm="1">
        <f t="array" ref="M62">Common_InputFunctions.Utility_DisplayArrayInTable(SourceData_Poultry.SourceData_Poultry_MCF_Data(), Table_SourceData_Poultry_MMSMCF[[#Headers],[MMS m]], 0)</f>
        <v>1.4999999999999999E-2</v>
      </c>
      <c r="N62" s="19" t="str" cm="1">
        <f t="array" ref="N62">Common_InputFunctions.Utility_DisplayArrayInTable(SourceData_Poultry.SourceData_Poultry_MCF_Data(), Table_SourceData_Poultry_MMSMCF[[#Headers],[MMS m]], 0)</f>
        <v>Manure stored in house</v>
      </c>
    </row>
    <row r="63" spans="1:14" ht="20.100000000000001" customHeight="1" x14ac:dyDescent="0.2">
      <c r="D63" s="1" t="str" cm="1">
        <f t="array" ref="D63">Common_InputFunctions.Utility_DisplayArrayInTable(SourceData_Poultry.SourceData_Poultry_MCF_Data(), Table_SourceData_Poultry_MMSMCF[[#Headers],[MMS m]], 0)</f>
        <v>Pasture range and paddock</v>
      </c>
      <c r="E63" s="19" t="str" cm="1">
        <f t="array" ref="E63">Common_InputFunctions.Utility_DisplayArrayInTable(SourceData_Poultry.SourceData_Poultry_MCF_Data(), Table_SourceData_Poultry_MMSMCF[[#Headers],[MMS m]], 0)</f>
        <v>n/a</v>
      </c>
      <c r="F63" s="19" cm="1">
        <f t="array" ref="F63">Common_InputFunctions.Utility_DisplayArrayInTable(SourceData_Poultry.SourceData_Poultry_MCF_Data(), Table_SourceData_Poultry_MMSMCF[[#Headers],[MMS m]], 0)</f>
        <v>0.01</v>
      </c>
      <c r="G63" s="19" cm="1">
        <f t="array" ref="G63">Common_InputFunctions.Utility_DisplayArrayInTable(SourceData_Poultry.SourceData_Poultry_MCF_Data(), Table_SourceData_Poultry_MMSMCF[[#Headers],[MMS m]], 0)</f>
        <v>0.01</v>
      </c>
      <c r="H63" s="19" cm="1">
        <f t="array" ref="H63">Common_InputFunctions.Utility_DisplayArrayInTable(SourceData_Poultry.SourceData_Poultry_MCF_Data(), Table_SourceData_Poultry_MMSMCF[[#Headers],[MMS m]], 0)</f>
        <v>0.03</v>
      </c>
      <c r="I63" s="19" cm="1">
        <f t="array" ref="I63">Common_InputFunctions.Utility_DisplayArrayInTable(SourceData_Poultry.SourceData_Poultry_MCF_Data(), Table_SourceData_Poultry_MMSMCF[[#Headers],[MMS m]], 0)</f>
        <v>0.03</v>
      </c>
      <c r="J63" s="19" cm="1">
        <f t="array" ref="J63">Common_InputFunctions.Utility_DisplayArrayInTable(SourceData_Poultry.SourceData_Poultry_MCF_Data(), Table_SourceData_Poultry_MMSMCF[[#Headers],[MMS m]], 0)</f>
        <v>0.01</v>
      </c>
      <c r="K63" s="19" cm="1">
        <f t="array" ref="K63">Common_InputFunctions.Utility_DisplayArrayInTable(SourceData_Poultry.SourceData_Poultry_MCF_Data(), Table_SourceData_Poultry_MMSMCF[[#Headers],[MMS m]], 0)</f>
        <v>0.01</v>
      </c>
      <c r="L63" s="19" cm="1">
        <f t="array" ref="L63">Common_InputFunctions.Utility_DisplayArrayInTable(SourceData_Poultry.SourceData_Poultry_MCF_Data(), Table_SourceData_Poultry_MMSMCF[[#Headers],[MMS m]], 0)</f>
        <v>0.01</v>
      </c>
      <c r="M63" s="19" cm="1">
        <f t="array" ref="M63">Common_InputFunctions.Utility_DisplayArrayInTable(SourceData_Poultry.SourceData_Poultry_MCF_Data(), Table_SourceData_Poultry_MMSMCF[[#Headers],[MMS m]], 0)</f>
        <v>0.01</v>
      </c>
      <c r="N63" s="19" t="str" cm="1">
        <f t="array" ref="N63">Common_InputFunctions.Utility_DisplayArrayInTable(SourceData_Poultry.SourceData_Poultry_MCF_Data(), Table_SourceData_Poultry_MMSMCF[[#Headers],[MMS m]], 0)</f>
        <v>Pasture range and paddock</v>
      </c>
    </row>
    <row r="64" spans="1:14" ht="20.100000000000001" customHeight="1" x14ac:dyDescent="0.2">
      <c r="D64" s="1" t="str" cm="1">
        <f t="array" ref="D64">Common_InputFunctions.Utility_DisplayArrayInTable(SourceData_Poultry.SourceData_Poultry_MCF_Data(), Table_SourceData_Poultry_MMSMCF[[#Headers],[MMS m]], 0)</f>
        <v>Solid storage</v>
      </c>
      <c r="E64" s="19" cm="1">
        <f t="array" ref="E64">Common_InputFunctions.Utility_DisplayArrayInTable(SourceData_Poultry.SourceData_Poultry_MCF_Data(), Table_SourceData_Poultry_MMSMCF[[#Headers],[MMS m]], 0)</f>
        <v>0.02</v>
      </c>
      <c r="F64" s="19" cm="1">
        <f t="array" ref="F64">Common_InputFunctions.Utility_DisplayArrayInTable(SourceData_Poultry.SourceData_Poultry_MCF_Data(), Table_SourceData_Poultry_MMSMCF[[#Headers],[MMS m]], 0)</f>
        <v>0.02</v>
      </c>
      <c r="G64" s="19" cm="1">
        <f t="array" ref="G64">Common_InputFunctions.Utility_DisplayArrayInTable(SourceData_Poultry.SourceData_Poultry_MCF_Data(), Table_SourceData_Poultry_MMSMCF[[#Headers],[MMS m]], 0)</f>
        <v>0.02</v>
      </c>
      <c r="H64" s="19" cm="1">
        <f t="array" ref="H64">Common_InputFunctions.Utility_DisplayArrayInTable(SourceData_Poultry.SourceData_Poultry_MCF_Data(), Table_SourceData_Poultry_MMSMCF[[#Headers],[MMS m]], 0)</f>
        <v>0.02</v>
      </c>
      <c r="I64" s="19" cm="1">
        <f t="array" ref="I64">Common_InputFunctions.Utility_DisplayArrayInTable(SourceData_Poultry.SourceData_Poultry_MCF_Data(), Table_SourceData_Poultry_MMSMCF[[#Headers],[MMS m]], 0)</f>
        <v>0.02</v>
      </c>
      <c r="J64" s="19" cm="1">
        <f t="array" ref="J64">Common_InputFunctions.Utility_DisplayArrayInTable(SourceData_Poultry.SourceData_Poultry_MCF_Data(), Table_SourceData_Poultry_MMSMCF[[#Headers],[MMS m]], 0)</f>
        <v>0.02</v>
      </c>
      <c r="K64" s="19" cm="1">
        <f t="array" ref="K64">Common_InputFunctions.Utility_DisplayArrayInTable(SourceData_Poultry.SourceData_Poultry_MCF_Data(), Table_SourceData_Poultry_MMSMCF[[#Headers],[MMS m]], 0)</f>
        <v>0.02</v>
      </c>
      <c r="L64" s="19" cm="1">
        <f t="array" ref="L64">Common_InputFunctions.Utility_DisplayArrayInTable(SourceData_Poultry.SourceData_Poultry_MCF_Data(), Table_SourceData_Poultry_MMSMCF[[#Headers],[MMS m]], 0)</f>
        <v>0.02</v>
      </c>
      <c r="M64" s="19" cm="1">
        <f t="array" ref="M64">Common_InputFunctions.Utility_DisplayArrayInTable(SourceData_Poultry.SourceData_Poultry_MCF_Data(), Table_SourceData_Poultry_MMSMCF[[#Headers],[MMS m]], 0)</f>
        <v>0.02</v>
      </c>
      <c r="N64" s="19" t="str" cm="1">
        <f t="array" ref="N64">Common_InputFunctions.Utility_DisplayArrayInTable(SourceData_Poultry.SourceData_Poultry_MCF_Data(), Table_SourceData_Poultry_MMSMCF[[#Headers],[MMS m]], 0)</f>
        <v>Solid storage</v>
      </c>
    </row>
    <row r="65" spans="1:22" ht="20.100000000000001" customHeight="1" x14ac:dyDescent="0.2">
      <c r="D65" s="1" t="str" cm="1">
        <f t="array" ref="D65">Common_InputFunctions.Utility_DisplayArrayInTable(SourceData_Poultry.SourceData_Poultry_MCF_Data(), Table_SourceData_Poultry_MMSMCF[[#Headers],[MMS m]], 0)</f>
        <v>Composting (passive windrow)</v>
      </c>
      <c r="E65" s="19" t="str" cm="1">
        <f t="array" ref="E65">Common_InputFunctions.Utility_DisplayArrayInTable(SourceData_Poultry.SourceData_Poultry_MCF_Data(), Table_SourceData_Poultry_MMSMCF[[#Headers],[MMS m]], 0)</f>
        <v>n/a</v>
      </c>
      <c r="F65" s="19" cm="1">
        <f t="array" ref="F65">Common_InputFunctions.Utility_DisplayArrayInTable(SourceData_Poultry.SourceData_Poultry_MCF_Data(), Table_SourceData_Poultry_MMSMCF[[#Headers],[MMS m]], 0)</f>
        <v>0.01</v>
      </c>
      <c r="G65" s="19" cm="1">
        <f t="array" ref="G65">Common_InputFunctions.Utility_DisplayArrayInTable(SourceData_Poultry.SourceData_Poultry_MCF_Data(), Table_SourceData_Poultry_MMSMCF[[#Headers],[MMS m]], 0)</f>
        <v>0.01</v>
      </c>
      <c r="H65" s="19" cm="1">
        <f t="array" ref="H65">Common_InputFunctions.Utility_DisplayArrayInTable(SourceData_Poultry.SourceData_Poultry_MCF_Data(), Table_SourceData_Poultry_MMSMCF[[#Headers],[MMS m]], 0)</f>
        <v>0.01</v>
      </c>
      <c r="I65" s="19" cm="1">
        <f t="array" ref="I65">Common_InputFunctions.Utility_DisplayArrayInTable(SourceData_Poultry.SourceData_Poultry_MCF_Data(), Table_SourceData_Poultry_MMSMCF[[#Headers],[MMS m]], 0)</f>
        <v>0.01</v>
      </c>
      <c r="J65" s="19" cm="1">
        <f t="array" ref="J65">Common_InputFunctions.Utility_DisplayArrayInTable(SourceData_Poultry.SourceData_Poultry_MCF_Data(), Table_SourceData_Poultry_MMSMCF[[#Headers],[MMS m]], 0)</f>
        <v>0.01</v>
      </c>
      <c r="K65" s="19" cm="1">
        <f t="array" ref="K65">Common_InputFunctions.Utility_DisplayArrayInTable(SourceData_Poultry.SourceData_Poultry_MCF_Data(), Table_SourceData_Poultry_MMSMCF[[#Headers],[MMS m]], 0)</f>
        <v>0.01</v>
      </c>
      <c r="L65" s="19" cm="1">
        <f t="array" ref="L65">Common_InputFunctions.Utility_DisplayArrayInTable(SourceData_Poultry.SourceData_Poultry_MCF_Data(), Table_SourceData_Poultry_MMSMCF[[#Headers],[MMS m]], 0)</f>
        <v>0.01</v>
      </c>
      <c r="M65" s="19" cm="1">
        <f t="array" ref="M65">Common_InputFunctions.Utility_DisplayArrayInTable(SourceData_Poultry.SourceData_Poultry_MCF_Data(), Table_SourceData_Poultry_MMSMCF[[#Headers],[MMS m]], 0)</f>
        <v>5.0000000000000001E-3</v>
      </c>
      <c r="N65" s="19" t="str" cm="1">
        <f t="array" ref="N65">Common_InputFunctions.Utility_DisplayArrayInTable(SourceData_Poultry.SourceData_Poultry_MCF_Data(), Table_SourceData_Poultry_MMSMCF[[#Headers],[MMS m]], 0)</f>
        <v>Composting (passive windrow)</v>
      </c>
    </row>
    <row r="66" spans="1:22" ht="20.100000000000001" customHeight="1" x14ac:dyDescent="0.2">
      <c r="D66" s="1" t="str" cm="1">
        <f t="array" ref="D66">Common_InputFunctions.Utility_DisplayArrayInTable(SourceData_Poultry.SourceData_Poultry_MCF_Data(), Table_SourceData_Poultry_MMSMCF[[#Headers],[MMS m]], 0)</f>
        <v>Anaerobic digester / Covered pond</v>
      </c>
      <c r="E66" s="19" cm="1">
        <f t="array" ref="E66">Common_InputFunctions.Utility_DisplayArrayInTable(SourceData_Poultry.SourceData_Poultry_MCF_Data(), Table_SourceData_Poultry_MMSMCF[[#Headers],[MMS m]], 0)</f>
        <v>0.1</v>
      </c>
      <c r="F66" s="19" cm="1">
        <f t="array" ref="F66">Common_InputFunctions.Utility_DisplayArrayInTable(SourceData_Poultry.SourceData_Poultry_MCF_Data(), Table_SourceData_Poultry_MMSMCF[[#Headers],[MMS m]], 0)</f>
        <v>0.1</v>
      </c>
      <c r="G66" s="19" cm="1">
        <f t="array" ref="G66">Common_InputFunctions.Utility_DisplayArrayInTable(SourceData_Poultry.SourceData_Poultry_MCF_Data(), Table_SourceData_Poultry_MMSMCF[[#Headers],[MMS m]], 0)</f>
        <v>0.1</v>
      </c>
      <c r="H66" s="19" cm="1">
        <f t="array" ref="H66">Common_InputFunctions.Utility_DisplayArrayInTable(SourceData_Poultry.SourceData_Poultry_MCF_Data(), Table_SourceData_Poultry_MMSMCF[[#Headers],[MMS m]], 0)</f>
        <v>0.1</v>
      </c>
      <c r="I66" s="19" cm="1">
        <f t="array" ref="I66">Common_InputFunctions.Utility_DisplayArrayInTable(SourceData_Poultry.SourceData_Poultry_MCF_Data(), Table_SourceData_Poultry_MMSMCF[[#Headers],[MMS m]], 0)</f>
        <v>0.1</v>
      </c>
      <c r="J66" s="19" cm="1">
        <f t="array" ref="J66">Common_InputFunctions.Utility_DisplayArrayInTable(SourceData_Poultry.SourceData_Poultry_MCF_Data(), Table_SourceData_Poultry_MMSMCF[[#Headers],[MMS m]], 0)</f>
        <v>0.1</v>
      </c>
      <c r="K66" s="19" cm="1">
        <f t="array" ref="K66">Common_InputFunctions.Utility_DisplayArrayInTable(SourceData_Poultry.SourceData_Poultry_MCF_Data(), Table_SourceData_Poultry_MMSMCF[[#Headers],[MMS m]], 0)</f>
        <v>0.1</v>
      </c>
      <c r="L66" s="19" cm="1">
        <f t="array" ref="L66">Common_InputFunctions.Utility_DisplayArrayInTable(SourceData_Poultry.SourceData_Poultry_MCF_Data(), Table_SourceData_Poultry_MMSMCF[[#Headers],[MMS m]], 0)</f>
        <v>0.1</v>
      </c>
      <c r="M66" s="19" cm="1">
        <f t="array" ref="M66">Common_InputFunctions.Utility_DisplayArrayInTable(SourceData_Poultry.SourceData_Poultry_MCF_Data(), Table_SourceData_Poultry_MMSMCF[[#Headers],[MMS m]], 0)</f>
        <v>0.1</v>
      </c>
      <c r="N66" s="19" t="str" cm="1">
        <f t="array" ref="N66">Common_InputFunctions.Utility_DisplayArrayInTable(SourceData_Poultry.SourceData_Poultry_MCF_Data(), Table_SourceData_Poultry_MMSMCF[[#Headers],[MMS m]], 0)</f>
        <v>Digester / covered lagoons</v>
      </c>
    </row>
    <row r="67" spans="1:22" ht="20.100000000000001" customHeight="1" x14ac:dyDescent="0.2">
      <c r="D67" s="1" t="str" cm="1">
        <f t="array" ref="D67">Common_InputFunctions.Utility_DisplayArrayInTable(SourceData_Poultry.SourceData_Poultry_MCF_Data(), Table_SourceData_Poultry_MMSMCF[[#Headers],[MMS m]], 0)</f>
        <v>Direct processing</v>
      </c>
      <c r="E67" s="19" cm="1">
        <f t="array" ref="E67">Common_InputFunctions.Utility_DisplayArrayInTable(SourceData_Poultry.SourceData_Poultry_MCF_Data(), Table_SourceData_Poultry_MMSMCF[[#Headers],[MMS m]], 0)</f>
        <v>0</v>
      </c>
      <c r="F67" s="19" cm="1">
        <f t="array" ref="F67">Common_InputFunctions.Utility_DisplayArrayInTable(SourceData_Poultry.SourceData_Poultry_MCF_Data(), Table_SourceData_Poultry_MMSMCF[[#Headers],[MMS m]], 0)</f>
        <v>0</v>
      </c>
      <c r="G67" s="19" cm="1">
        <f t="array" ref="G67">Common_InputFunctions.Utility_DisplayArrayInTable(SourceData_Poultry.SourceData_Poultry_MCF_Data(), Table_SourceData_Poultry_MMSMCF[[#Headers],[MMS m]], 0)</f>
        <v>0</v>
      </c>
      <c r="H67" s="19" cm="1">
        <f t="array" ref="H67">Common_InputFunctions.Utility_DisplayArrayInTable(SourceData_Poultry.SourceData_Poultry_MCF_Data(), Table_SourceData_Poultry_MMSMCF[[#Headers],[MMS m]], 0)</f>
        <v>0</v>
      </c>
      <c r="I67" s="19" cm="1">
        <f t="array" ref="I67">Common_InputFunctions.Utility_DisplayArrayInTable(SourceData_Poultry.SourceData_Poultry_MCF_Data(), Table_SourceData_Poultry_MMSMCF[[#Headers],[MMS m]], 0)</f>
        <v>0</v>
      </c>
      <c r="J67" s="19" cm="1">
        <f t="array" ref="J67">Common_InputFunctions.Utility_DisplayArrayInTable(SourceData_Poultry.SourceData_Poultry_MCF_Data(), Table_SourceData_Poultry_MMSMCF[[#Headers],[MMS m]], 0)</f>
        <v>0</v>
      </c>
      <c r="K67" s="19" cm="1">
        <f t="array" ref="K67">Common_InputFunctions.Utility_DisplayArrayInTable(SourceData_Poultry.SourceData_Poultry_MCF_Data(), Table_SourceData_Poultry_MMSMCF[[#Headers],[MMS m]], 0)</f>
        <v>0</v>
      </c>
      <c r="L67" s="19" cm="1">
        <f t="array" ref="L67">Common_InputFunctions.Utility_DisplayArrayInTable(SourceData_Poultry.SourceData_Poultry_MCF_Data(), Table_SourceData_Poultry_MMSMCF[[#Headers],[MMS m]], 0)</f>
        <v>0</v>
      </c>
      <c r="M67" s="19" cm="1">
        <f t="array" ref="M67">Common_InputFunctions.Utility_DisplayArrayInTable(SourceData_Poultry.SourceData_Poultry_MCF_Data(), Table_SourceData_Poultry_MMSMCF[[#Headers],[MMS m]], 0)</f>
        <v>0</v>
      </c>
      <c r="N67" s="19" t="str" cm="1">
        <f t="array" ref="N67">Common_InputFunctions.Utility_DisplayArrayInTable(SourceData_Poultry.SourceData_Poultry_MCF_Data(), Table_SourceData_Poultry_MMSMCF[[#Headers],[MMS m]], 0)</f>
        <v>Direct processing</v>
      </c>
    </row>
    <row r="68" spans="1:22" ht="20.100000000000001" customHeight="1" x14ac:dyDescent="0.2">
      <c r="A68" s="79" t="str">
        <f>HYPERLINK("#A1", "▲ Back to top")</f>
        <v>▲ Back to top</v>
      </c>
      <c r="D68" s="1" t="str" cm="1">
        <f t="array" ref="D68">Common_InputFunctions.Utility_DisplayArrayInTable(SourceData_Poultry.SourceData_Poultry_MCF_Data(), Table_SourceData_Poultry_MMSMCF[[#Headers],[MMS m]], 0)</f>
        <v>Direct application to soil</v>
      </c>
      <c r="E68" s="19" cm="1">
        <f t="array" ref="E68">Common_InputFunctions.Utility_DisplayArrayInTable(SourceData_Poultry.SourceData_Poultry_MCF_Data(), Table_SourceData_Poultry_MMSMCF[[#Headers],[MMS m]], 0)</f>
        <v>0</v>
      </c>
      <c r="F68" s="19" cm="1">
        <f t="array" ref="F68">Common_InputFunctions.Utility_DisplayArrayInTable(SourceData_Poultry.SourceData_Poultry_MCF_Data(), Table_SourceData_Poultry_MMSMCF[[#Headers],[MMS m]], 0)</f>
        <v>0</v>
      </c>
      <c r="G68" s="19" cm="1">
        <f t="array" ref="G68">Common_InputFunctions.Utility_DisplayArrayInTable(SourceData_Poultry.SourceData_Poultry_MCF_Data(), Table_SourceData_Poultry_MMSMCF[[#Headers],[MMS m]], 0)</f>
        <v>0</v>
      </c>
      <c r="H68" s="19" cm="1">
        <f t="array" ref="H68">Common_InputFunctions.Utility_DisplayArrayInTable(SourceData_Poultry.SourceData_Poultry_MCF_Data(), Table_SourceData_Poultry_MMSMCF[[#Headers],[MMS m]], 0)</f>
        <v>0</v>
      </c>
      <c r="I68" s="19" cm="1">
        <f t="array" ref="I68">Common_InputFunctions.Utility_DisplayArrayInTable(SourceData_Poultry.SourceData_Poultry_MCF_Data(), Table_SourceData_Poultry_MMSMCF[[#Headers],[MMS m]], 0)</f>
        <v>0</v>
      </c>
      <c r="J68" s="19" cm="1">
        <f t="array" ref="J68">Common_InputFunctions.Utility_DisplayArrayInTable(SourceData_Poultry.SourceData_Poultry_MCF_Data(), Table_SourceData_Poultry_MMSMCF[[#Headers],[MMS m]], 0)</f>
        <v>0</v>
      </c>
      <c r="K68" s="19" cm="1">
        <f t="array" ref="K68">Common_InputFunctions.Utility_DisplayArrayInTable(SourceData_Poultry.SourceData_Poultry_MCF_Data(), Table_SourceData_Poultry_MMSMCF[[#Headers],[MMS m]], 0)</f>
        <v>0</v>
      </c>
      <c r="L68" s="19" cm="1">
        <f t="array" ref="L68">Common_InputFunctions.Utility_DisplayArrayInTable(SourceData_Poultry.SourceData_Poultry_MCF_Data(), Table_SourceData_Poultry_MMSMCF[[#Headers],[MMS m]], 0)</f>
        <v>0</v>
      </c>
      <c r="M68" s="19" cm="1">
        <f t="array" ref="M68">Common_InputFunctions.Utility_DisplayArrayInTable(SourceData_Poultry.SourceData_Poultry_MCF_Data(), Table_SourceData_Poultry_MMSMCF[[#Headers],[MMS m]], 0)</f>
        <v>0</v>
      </c>
      <c r="N68" s="19" t="str" cm="1">
        <f t="array" ref="N68">Common_InputFunctions.Utility_DisplayArrayInTable(SourceData_Poultry.SourceData_Poultry_MCF_Data(), Table_SourceData_Poultry_MMSMCF[[#Headers],[MMS m]], 0)</f>
        <v>Direct application</v>
      </c>
    </row>
    <row r="69" spans="1:22" ht="20.100000000000001" customHeight="1" x14ac:dyDescent="0.2">
      <c r="M69" s="1"/>
    </row>
    <row r="70" spans="1:22" ht="20.100000000000001" customHeight="1" x14ac:dyDescent="0.2">
      <c r="M70" s="1"/>
    </row>
    <row r="71" spans="1:22" ht="20.100000000000001" customHeight="1" x14ac:dyDescent="0.2">
      <c r="M71" s="1"/>
      <c r="V71" s="1"/>
    </row>
    <row r="72" spans="1:22" ht="20.100000000000001" customHeight="1" x14ac:dyDescent="0.2">
      <c r="D72" s="2" t="str" cm="1">
        <f t="array" ref="D72">SourceData_Poultry.SourceData_Poultry_VSL_Title()</f>
        <v>Poultry - Fraction of volatile solids lost in the primary MMS</v>
      </c>
      <c r="M72" s="1"/>
      <c r="V72" s="1"/>
    </row>
    <row r="73" spans="1:22" ht="20.100000000000001" customHeight="1" x14ac:dyDescent="0.2">
      <c r="D73" s="17" t="str" cm="1">
        <f t="array" ref="D73">SourceData_Poultry.SourceData_Poultry_VSL_Source()</f>
        <v>VEERG 2026: 4.6.2.3 CONSTANT</v>
      </c>
      <c r="M73" s="1"/>
      <c r="V73" s="1"/>
    </row>
    <row r="74" spans="1:22" ht="20.100000000000001" customHeight="1" x14ac:dyDescent="0.2">
      <c r="D74" s="25" t="str" cm="1">
        <f t="array" ref="D74">SourceData_Poultry.SourceData_Poultry_VSL_Variation()</f>
        <v>VARIATION ON SOURCE: Table generated from line items. Added 'NIR definition column'.</v>
      </c>
      <c r="M74" s="1"/>
      <c r="V74" s="1"/>
    </row>
    <row r="75" spans="1:22" ht="20.100000000000001" customHeight="1" x14ac:dyDescent="0.2">
      <c r="D75" s="19" t="s">
        <v>350</v>
      </c>
      <c r="E75" s="19" t="s">
        <v>531</v>
      </c>
      <c r="F75" s="19" t="s">
        <v>530</v>
      </c>
      <c r="M75" s="1"/>
      <c r="V75" s="1"/>
    </row>
    <row r="76" spans="1:22" ht="20.100000000000001" customHeight="1" x14ac:dyDescent="0.2">
      <c r="D76" s="19" t="str" cm="1">
        <f t="array" ref="D76">Common_InputFunctions.Utility_DisplayArrayInTable(SourceData_Poultry.SourceData_Poultry_VSL_Data(), Table_SourceData_Poultry_MMSVSL[[#Headers],[MMS]], 0)</f>
        <v>Poultry manure with litter</v>
      </c>
      <c r="E76" s="19" cm="1">
        <f t="array" ref="E76">Common_InputFunctions.Utility_DisplayArrayInTable(SourceData_Poultry.SourceData_Poultry_VSL_Data(), Table_SourceData_Poultry_MMSVSL[[#Headers],[MMS]], 0)</f>
        <v>0.15</v>
      </c>
      <c r="F76" s="19" t="str" cm="1">
        <f t="array" ref="F76">Common_InputFunctions.Utility_DisplayArrayInTable(SourceData_Poultry.SourceData_Poultry_VSL_Data(), Table_SourceData_Poultry_MMSVSL[[#Headers],[MMS]], 0)</f>
        <v>Poultry manure with bedding</v>
      </c>
      <c r="M76" s="1"/>
      <c r="V76" s="1"/>
    </row>
    <row r="77" spans="1:22" ht="20.100000000000001" customHeight="1" x14ac:dyDescent="0.2">
      <c r="D77" s="1" t="str" cm="1">
        <f t="array" ref="D77">Common_InputFunctions.Utility_DisplayArrayInTable(SourceData_Poultry.SourceData_Poultry_VSL_Data(), Table_SourceData_Poultry_MMSVSL[[#Headers],[MMS]], 0)</f>
        <v>Poultry manure without litter - stored in house</v>
      </c>
      <c r="E77" s="19" cm="1">
        <f t="array" ref="E77">Common_InputFunctions.Utility_DisplayArrayInTable(SourceData_Poultry.SourceData_Poultry_VSL_Data(), Table_SourceData_Poultry_MMSVSL[[#Headers],[MMS]], 0)</f>
        <v>0.2</v>
      </c>
      <c r="F77" s="19" t="str" cm="1">
        <f t="array" ref="F77">Common_InputFunctions.Utility_DisplayArrayInTable(SourceData_Poultry.SourceData_Poultry_VSL_Data(), Table_SourceData_Poultry_MMSVSL[[#Headers],[MMS]], 0)</f>
        <v>Manure stored in house</v>
      </c>
      <c r="M77" s="1"/>
      <c r="V77" s="1"/>
    </row>
    <row r="78" spans="1:22" ht="20.100000000000001" customHeight="1" x14ac:dyDescent="0.2">
      <c r="D78" s="1" t="str" cm="1">
        <f t="array" ref="D78">Common_InputFunctions.Utility_DisplayArrayInTable(SourceData_Poultry.SourceData_Poultry_VSL_Data(), Table_SourceData_Poultry_MMSVSL[[#Headers],[MMS]], 0)</f>
        <v>Poultry manure without litter - belt removal</v>
      </c>
      <c r="E78" s="19" cm="1">
        <f t="array" ref="E78">Common_InputFunctions.Utility_DisplayArrayInTable(SourceData_Poultry.SourceData_Poultry_VSL_Data(), Table_SourceData_Poultry_MMSVSL[[#Headers],[MMS]], 0)</f>
        <v>0</v>
      </c>
      <c r="F78" s="19" t="str" cm="1">
        <f t="array" ref="F78">Common_InputFunctions.Utility_DisplayArrayInTable(SourceData_Poultry.SourceData_Poultry_VSL_Data(), Table_SourceData_Poultry_MMSVSL[[#Headers],[MMS]], 0)</f>
        <v>Belt manure removal</v>
      </c>
      <c r="M78" s="1"/>
      <c r="V78" s="1"/>
    </row>
    <row r="79" spans="1:22" ht="20.100000000000001" customHeight="1" x14ac:dyDescent="0.2">
      <c r="M79" s="1"/>
      <c r="V79" s="1"/>
    </row>
    <row r="80" spans="1:22" ht="20.100000000000001" customHeight="1" x14ac:dyDescent="0.2">
      <c r="M80" s="1"/>
      <c r="V80" s="1"/>
    </row>
    <row r="81" spans="4:23" ht="20.100000000000001" customHeight="1" x14ac:dyDescent="0.2">
      <c r="D81" s="2" t="str" cm="1">
        <f t="array" ref="D81">SourceData_Poultry.SourceData_Poultry_FracGASMmT_Title()</f>
        <v>Poultry - Fraction of N volatilised by MMS ((kg NH3-N + NOx-N)/kgN) (FracGASMmT)</v>
      </c>
      <c r="M81" s="1"/>
      <c r="V81" s="1"/>
    </row>
    <row r="82" spans="4:23" ht="20.100000000000001" customHeight="1" x14ac:dyDescent="0.2">
      <c r="D82" s="17" t="str" cm="1">
        <f t="array" ref="D82">SourceData_Poultry.SourceData_Poultry_FracGASMmT_Source()</f>
        <v>VEERG 2026: Table A.1.7.2</v>
      </c>
      <c r="M82" s="1"/>
      <c r="V82" s="1"/>
    </row>
    <row r="83" spans="4:23" ht="20.100000000000001" customHeight="1" x14ac:dyDescent="0.2">
      <c r="D83" s="25" t="str" cm="1">
        <f t="array" ref="D83">SourceData_Poultry.SourceData_Poultry_FracGASMmT_Variation()</f>
        <v>VARIATION ON SOURCE: Added 'NIR definition column'.</v>
      </c>
      <c r="M83" s="1"/>
    </row>
    <row r="84" spans="4:23" ht="20.100000000000001" customHeight="1" x14ac:dyDescent="0.2">
      <c r="D84" s="19" t="s">
        <v>532</v>
      </c>
      <c r="E84" s="19" t="s">
        <v>533</v>
      </c>
      <c r="F84" s="19" t="s">
        <v>534</v>
      </c>
      <c r="M84" s="1"/>
    </row>
    <row r="85" spans="4:23" ht="20.100000000000001" customHeight="1" x14ac:dyDescent="0.2">
      <c r="D85" s="19" t="str" cm="1">
        <f t="array" ref="D85">Common_InputFunctions.Utility_DisplayArrayInTable(SourceData_Poultry.SourceData_Poultry_FracGASMmT_Data(), Table_SourceData_Poultry_FracGASM[[#Headers],[MMSm]], 0)</f>
        <v>Poultry manure with litter (housing)</v>
      </c>
      <c r="E85" s="19" cm="1">
        <f t="array" ref="E85">Common_InputFunctions.Utility_DisplayArrayInTable(SourceData_Poultry.SourceData_Poultry_FracGASMmT_Data(), Table_SourceData_Poultry_FracGASM[[#Headers],[MMSm]], 0)</f>
        <v>0.3</v>
      </c>
      <c r="F85" s="19"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
      <c r="D86" s="1" t="str" cm="1">
        <f t="array" ref="D86">Common_InputFunctions.Utility_DisplayArrayInTable(SourceData_Poultry.SourceData_Poultry_FracGASMmT_Data(), Table_SourceData_Poultry_FracGASM[[#Headers],[MMSm]], 0)</f>
        <v>Poultry manure without litter (housing) Belt manure removal</v>
      </c>
      <c r="E86" s="19" cm="1">
        <f t="array" ref="E86">Common_InputFunctions.Utility_DisplayArrayInTable(SourceData_Poultry.SourceData_Poultry_FracGASMmT_Data(), Table_SourceData_Poultry_FracGASM[[#Headers],[MMSm]], 0)</f>
        <v>0.05</v>
      </c>
      <c r="F86" s="19"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
      <c r="D87" s="1" t="str" cm="1">
        <f t="array" ref="D87">Common_InputFunctions.Utility_DisplayArrayInTable(SourceData_Poultry.SourceData_Poultry_FracGASMmT_Data(), Table_SourceData_Poultry_FracGASM[[#Headers],[MMSm]], 0)</f>
        <v>Poultry manure without litter (housing) Manure stored in house under cages or slat</v>
      </c>
      <c r="E87" s="19" cm="1">
        <f t="array" ref="E87">Common_InputFunctions.Utility_DisplayArrayInTable(SourceData_Poultry.SourceData_Poultry_FracGASMmT_Data(), Table_SourceData_Poultry_FracGASM[[#Headers],[MMSm]], 0)</f>
        <v>0.4</v>
      </c>
      <c r="F87" s="19"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
      <c r="D88" s="1" t="str" cm="1">
        <f t="array" ref="D88">Common_InputFunctions.Utility_DisplayArrayInTable(SourceData_Poultry.SourceData_Poultry_FracGASMmT_Data(), Table_SourceData_Poultry_FracGASM[[#Headers],[MMSm]], 0)</f>
        <v>Solid storage (stockpile)</v>
      </c>
      <c r="E88" s="19" cm="1">
        <f t="array" ref="E88">Common_InputFunctions.Utility_DisplayArrayInTable(SourceData_Poultry.SourceData_Poultry_FracGASMmT_Data(), Table_SourceData_Poultry_FracGASM[[#Headers],[MMSm]], 0)</f>
        <v>0.2</v>
      </c>
      <c r="F88" s="19"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
      <c r="D89" s="1" t="str" cm="1">
        <f t="array" ref="D89">Common_InputFunctions.Utility_DisplayArrayInTable(SourceData_Poultry.SourceData_Poultry_FracGASMmT_Data(), Table_SourceData_Poultry_FracGASM[[#Headers],[MMSm]], 0)</f>
        <v>Composting (passive windrow)</v>
      </c>
      <c r="E89" s="19" cm="1">
        <f t="array" ref="E89">Common_InputFunctions.Utility_DisplayArrayInTable(SourceData_Poultry.SourceData_Poultry_FracGASMmT_Data(), Table_SourceData_Poultry_FracGASM[[#Headers],[MMSm]], 0)</f>
        <v>0.2</v>
      </c>
      <c r="F89" s="19"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
      <c r="D90" s="1" t="str" cm="1">
        <f t="array" ref="D90">Common_InputFunctions.Utility_DisplayArrayInTable(SourceData_Poultry.SourceData_Poultry_FracGASMmT_Data(), Table_SourceData_Poultry_FracGASM[[#Headers],[MMSm]], 0)</f>
        <v>Direct processing</v>
      </c>
      <c r="E90" s="19" cm="1">
        <f t="array" ref="E90">Common_InputFunctions.Utility_DisplayArrayInTable(SourceData_Poultry.SourceData_Poultry_FracGASMmT_Data(), Table_SourceData_Poultry_FracGASM[[#Headers],[MMSm]], 0)</f>
        <v>0</v>
      </c>
      <c r="F90" s="19"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
      <c r="D91" s="1" t="str" cm="1">
        <f t="array" ref="D91">Common_InputFunctions.Utility_DisplayArrayInTable(SourceData_Poultry.SourceData_Poultry_FracGASMmT_Data(), Table_SourceData_Poultry_FracGASM[[#Headers],[MMSm]], 0)</f>
        <v>Anaerobic digester / covered pond</v>
      </c>
      <c r="E91" s="19" cm="1">
        <f t="array" ref="E91">Common_InputFunctions.Utility_DisplayArrayInTable(SourceData_Poultry.SourceData_Poultry_FracGASMmT_Data(), Table_SourceData_Poultry_FracGASM[[#Headers],[MMSm]], 0)</f>
        <v>0</v>
      </c>
      <c r="F91" s="19"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
      <c r="M92" s="1"/>
      <c r="V92" s="1"/>
    </row>
    <row r="93" spans="4:23" ht="20.100000000000001" customHeight="1" x14ac:dyDescent="0.2">
      <c r="M93" s="1"/>
      <c r="V93" s="1"/>
    </row>
    <row r="94" spans="4:23" ht="20.100000000000001" customHeight="1" x14ac:dyDescent="0.2">
      <c r="D94" s="2" t="str" cm="1">
        <f t="array" ref="D94">SourceData_Poultry.SourceData_Poultry_EFmT_Title()</f>
        <v>Poultry - Nitrous oxide EFs by MMS (kgN2O-N/kgN) (EFmT)</v>
      </c>
      <c r="M94" s="1"/>
    </row>
    <row r="95" spans="4:23" ht="20.100000000000001" customHeight="1" x14ac:dyDescent="0.2">
      <c r="D95" s="17" t="str" cm="1">
        <f t="array" ref="D95">SourceData_Poultry.SourceData_Poultry_EFmT_Source()</f>
        <v>VEERG 2026: Table A.1.7.3</v>
      </c>
      <c r="M95" s="1"/>
    </row>
    <row r="96" spans="4:23" ht="20.100000000000001" customHeight="1" x14ac:dyDescent="0.2">
      <c r="D96" s="25" t="str" cm="1">
        <f t="array" ref="D96">SourceData_Poultry.SourceData_Poultry_EFmT_Variation()</f>
        <v>VARIATION ON SOURCE: Added 'NIR definition column'. Duplicated 'Poultry manure without litter' row for NIR MMS 'Belt manure removal' and 'Manure stored in house'.</v>
      </c>
      <c r="M96" s="1"/>
    </row>
    <row r="97" spans="1:13" ht="20.100000000000001" customHeight="1" x14ac:dyDescent="0.2">
      <c r="D97" s="19" t="s">
        <v>532</v>
      </c>
      <c r="E97" s="19" t="s">
        <v>535</v>
      </c>
      <c r="F97" s="19" t="s">
        <v>534</v>
      </c>
      <c r="M97" s="1"/>
    </row>
    <row r="98" spans="1:13" ht="20.100000000000001" customHeight="1" x14ac:dyDescent="0.2">
      <c r="A98" s="79" t="str">
        <f>HYPERLINK("#A1", "▲ Back to top")</f>
        <v>▲ Back to top</v>
      </c>
      <c r="D98" s="19" t="str" cm="1">
        <f t="array" ref="D98">Common_InputFunctions.Utility_DisplayArrayInTable(SourceData_Poultry.SourceData_Poultry_EFmT_Data(),Table_SourceData_Poultry_EFmT[[#Headers],[MMSm]], 0)</f>
        <v>Poultry manure with litter (housing)</v>
      </c>
      <c r="E98" s="19" cm="1">
        <f t="array" ref="E98">Common_InputFunctions.Utility_DisplayArrayInTable(SourceData_Poultry.SourceData_Poultry_EFmT_Data(),Table_SourceData_Poultry_EFmT[[#Headers],[MMSm]], 0)</f>
        <v>1E-3</v>
      </c>
      <c r="F98" s="19" t="str" cm="1">
        <f t="array" ref="F98">Common_InputFunctions.Utility_DisplayArrayInTable(SourceData_Poultry.SourceData_Poultry_EFmT_Data(),Table_SourceData_Poultry_EFmT[[#Headers],[MMSm]], 0)</f>
        <v>Poultry manure with bedding</v>
      </c>
      <c r="M98" s="1"/>
    </row>
    <row r="99" spans="1:13" ht="20.100000000000001" customHeight="1" x14ac:dyDescent="0.2">
      <c r="D99" s="1" t="str" cm="1">
        <f t="array" ref="D99">Common_InputFunctions.Utility_DisplayArrayInTable(SourceData_Poultry.SourceData_Poultry_EFmT_Data(),Table_SourceData_Poultry_EFmT[[#Headers],[MMSm]], 0)</f>
        <v>Poultry manure without litter (housing)</v>
      </c>
      <c r="E99" s="19" cm="1">
        <f t="array" ref="E99">Common_InputFunctions.Utility_DisplayArrayInTable(SourceData_Poultry.SourceData_Poultry_EFmT_Data(),Table_SourceData_Poultry_EFmT[[#Headers],[MMSm]], 0)</f>
        <v>1E-3</v>
      </c>
      <c r="F99" s="19" t="str" cm="1">
        <f t="array" ref="F99">Common_InputFunctions.Utility_DisplayArrayInTable(SourceData_Poultry.SourceData_Poultry_EFmT_Data(),Table_SourceData_Poultry_EFmT[[#Headers],[MMSm]], 0)</f>
        <v>Belt manure removal</v>
      </c>
      <c r="M99" s="1"/>
    </row>
    <row r="100" spans="1:13" ht="20.100000000000001" customHeight="1" x14ac:dyDescent="0.2">
      <c r="D100" s="1" t="str" cm="1">
        <f t="array" ref="D100">Common_InputFunctions.Utility_DisplayArrayInTable(SourceData_Poultry.SourceData_Poultry_EFmT_Data(),Table_SourceData_Poultry_EFmT[[#Headers],[MMSm]], 0)</f>
        <v>Poultry manure without litter (housing)</v>
      </c>
      <c r="E100" s="19" cm="1">
        <f t="array" ref="E100">Common_InputFunctions.Utility_DisplayArrayInTable(SourceData_Poultry.SourceData_Poultry_EFmT_Data(),Table_SourceData_Poultry_EFmT[[#Headers],[MMSm]], 0)</f>
        <v>1E-3</v>
      </c>
      <c r="F100" s="19" t="str" cm="1">
        <f t="array" ref="F100">Common_InputFunctions.Utility_DisplayArrayInTable(SourceData_Poultry.SourceData_Poultry_EFmT_Data(),Table_SourceData_Poultry_EFmT[[#Headers],[MMSm]], 0)</f>
        <v>Manure stored in house</v>
      </c>
      <c r="M100" s="1"/>
    </row>
    <row r="101" spans="1:13" ht="20.100000000000001" customHeight="1" x14ac:dyDescent="0.2">
      <c r="D101" s="1" t="str" cm="1">
        <f t="array" ref="D101">Common_InputFunctions.Utility_DisplayArrayInTable(SourceData_Poultry.SourceData_Poultry_EFmT_Data(),Table_SourceData_Poultry_EFmT[[#Headers],[MMSm]], 0)</f>
        <v>Pasture range and paddock (free range)</v>
      </c>
      <c r="E101" s="19" cm="1">
        <f t="array" ref="E101">Common_InputFunctions.Utility_DisplayArrayInTable(SourceData_Poultry.SourceData_Poultry_EFmT_Data(),Table_SourceData_Poultry_EFmT[[#Headers],[MMSm]], 0)</f>
        <v>0.02</v>
      </c>
      <c r="F101" s="19" t="str" cm="1">
        <f t="array" ref="F101">Common_InputFunctions.Utility_DisplayArrayInTable(SourceData_Poultry.SourceData_Poultry_EFmT_Data(),Table_SourceData_Poultry_EFmT[[#Headers],[MMSm]], 0)</f>
        <v>Pasture range and paddock</v>
      </c>
      <c r="M101" s="1"/>
    </row>
    <row r="102" spans="1:13" ht="20.100000000000001" customHeight="1" x14ac:dyDescent="0.2">
      <c r="D102" s="1" t="str" cm="1">
        <f t="array" ref="D102">Common_InputFunctions.Utility_DisplayArrayInTable(SourceData_Poultry.SourceData_Poultry_EFmT_Data(),Table_SourceData_Poultry_EFmT[[#Headers],[MMSm]], 0)</f>
        <v>Solid storage (stockpile)</v>
      </c>
      <c r="E102" s="19" cm="1">
        <f t="array" ref="E102">Common_InputFunctions.Utility_DisplayArrayInTable(SourceData_Poultry.SourceData_Poultry_EFmT_Data(),Table_SourceData_Poultry_EFmT[[#Headers],[MMSm]], 0)</f>
        <v>5.0000000000000001E-3</v>
      </c>
      <c r="F102" s="19" t="str" cm="1">
        <f t="array" ref="F102">Common_InputFunctions.Utility_DisplayArrayInTable(SourceData_Poultry.SourceData_Poultry_EFmT_Data(),Table_SourceData_Poultry_EFmT[[#Headers],[MMSm]], 0)</f>
        <v>Solid storage</v>
      </c>
      <c r="M102" s="1"/>
    </row>
    <row r="103" spans="1:13" ht="20.100000000000001" customHeight="1" x14ac:dyDescent="0.2">
      <c r="D103" s="1" t="str" cm="1">
        <f t="array" ref="D103">Common_InputFunctions.Utility_DisplayArrayInTable(SourceData_Poultry.SourceData_Poultry_EFmT_Data(),Table_SourceData_Poultry_EFmT[[#Headers],[MMSm]], 0)</f>
        <v>Composting (passive windrow)</v>
      </c>
      <c r="E103" s="19" cm="1">
        <f t="array" ref="E103">Common_InputFunctions.Utility_DisplayArrayInTable(SourceData_Poultry.SourceData_Poultry_EFmT_Data(),Table_SourceData_Poultry_EFmT[[#Headers],[MMSm]], 0)</f>
        <v>0.01</v>
      </c>
      <c r="F103" s="19" t="str" cm="1">
        <f t="array" ref="F103">Common_InputFunctions.Utility_DisplayArrayInTable(SourceData_Poultry.SourceData_Poultry_EFmT_Data(),Table_SourceData_Poultry_EFmT[[#Headers],[MMSm]], 0)</f>
        <v>Composting (passive windrow)</v>
      </c>
      <c r="M103" s="1"/>
    </row>
    <row r="104" spans="1:13" ht="20.100000000000001" customHeight="1" x14ac:dyDescent="0.2">
      <c r="D104" s="1" t="str" cm="1">
        <f t="array" ref="D104">Common_InputFunctions.Utility_DisplayArrayInTable(SourceData_Poultry.SourceData_Poultry_EFmT_Data(),Table_SourceData_Poultry_EFmT[[#Headers],[MMSm]], 0)</f>
        <v>Direct processing</v>
      </c>
      <c r="E104" s="19" cm="1">
        <f t="array" ref="E104">Common_InputFunctions.Utility_DisplayArrayInTable(SourceData_Poultry.SourceData_Poultry_EFmT_Data(),Table_SourceData_Poultry_EFmT[[#Headers],[MMSm]], 0)</f>
        <v>0</v>
      </c>
      <c r="F104" s="19" t="str" cm="1">
        <f t="array" ref="F104">Common_InputFunctions.Utility_DisplayArrayInTable(SourceData_Poultry.SourceData_Poultry_EFmT_Data(),Table_SourceData_Poultry_EFmT[[#Headers],[MMSm]], 0)</f>
        <v>Direct processing</v>
      </c>
      <c r="M104" s="1"/>
    </row>
    <row r="105" spans="1:13" ht="20.100000000000001" customHeight="1" x14ac:dyDescent="0.2">
      <c r="D105" s="1" t="str" cm="1">
        <f t="array" ref="D105">Common_InputFunctions.Utility_DisplayArrayInTable(SourceData_Poultry.SourceData_Poultry_EFmT_Data(),Table_SourceData_Poultry_EFmT[[#Headers],[MMSm]], 0)</f>
        <v>Anaerobic digester / covered pond</v>
      </c>
      <c r="E105" s="19" cm="1">
        <f t="array" ref="E105">Common_InputFunctions.Utility_DisplayArrayInTable(SourceData_Poultry.SourceData_Poultry_EFmT_Data(),Table_SourceData_Poultry_EFmT[[#Headers],[MMSm]], 0)</f>
        <v>0</v>
      </c>
      <c r="F105" s="19" t="str" cm="1">
        <f t="array" ref="F105">Common_InputFunctions.Utility_DisplayArrayInTable(SourceData_Poultry.SourceData_Poultry_EFmT_Data(),Table_SourceData_Poultry_EFmT[[#Headers],[MMSm]], 0)</f>
        <v>Digester / covered lagoons</v>
      </c>
      <c r="M105" s="1"/>
    </row>
    <row r="106" spans="1:13" ht="20.100000000000001" customHeight="1" x14ac:dyDescent="0.2">
      <c r="M106" s="1"/>
    </row>
    <row r="107" spans="1:13" ht="20.100000000000001" customHeight="1" x14ac:dyDescent="0.2">
      <c r="M107" s="1"/>
    </row>
    <row r="108" spans="1:13" ht="20.100000000000001" customHeight="1" x14ac:dyDescent="0.2">
      <c r="D108" s="2" t="str" cm="1">
        <f t="array" ref="D108">SourceData_Poultry.SourceData_Poultry_FractionOfNitrogenLostThroughLeachingAndRunoff_Title()</f>
        <v>Fraction of N that is lost through leaching and runoff</v>
      </c>
      <c r="M108" s="1"/>
    </row>
    <row r="109" spans="1:13" ht="20.100000000000001" customHeight="1" x14ac:dyDescent="0.2">
      <c r="D109" s="17" t="str" cm="1">
        <f t="array" ref="D109">SourceData_Poultry.SourceData_Poultry_FractionOfNitrogenLostThroughLeachingAndRunoff_Source()</f>
        <v>VEERG 2026: 4.6.2.3 CONSTANTS</v>
      </c>
      <c r="M109" s="1"/>
    </row>
    <row r="110" spans="1:13" ht="20.100000000000001" customHeight="1" x14ac:dyDescent="0.2">
      <c r="D110" s="75"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1:13" ht="20.100000000000001" customHeight="1" x14ac:dyDescent="0.2">
      <c r="M111" s="1"/>
    </row>
    <row r="112" spans="1:13" ht="20.100000000000001" customHeight="1" x14ac:dyDescent="0.2">
      <c r="D112" s="2" t="str" cm="1">
        <f t="array" ref="D112">SourceData_Poultry.SourceData_Poultry_FracGAMSSoil_Title()</f>
        <v>Fraction of nitrogen volatilised from urine and faeces deposited on pasture</v>
      </c>
      <c r="M112" s="1"/>
    </row>
    <row r="113" spans="4:22" ht="20.100000000000001" customHeight="1" x14ac:dyDescent="0.2">
      <c r="D113" s="17" t="str" cm="1">
        <f t="array" ref="D113">SourceData_Poultry.SourceData_Poultry_FracGAMSSoil_Source()</f>
        <v>VEERG 2026: 4.6.2.3 CONSTANTS</v>
      </c>
      <c r="M113" s="1"/>
    </row>
    <row r="114" spans="4:22" ht="20.100000000000001" customHeight="1" x14ac:dyDescent="0.2">
      <c r="D114" s="2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
      <c r="D115" s="75" t="str" cm="1">
        <f t="array" ref="D115">SourceData_Poultry.SourceData_Poultry_FracGAMSSoil_Variable()</f>
        <v>FracGASM_soil</v>
      </c>
      <c r="E115" s="1" cm="1">
        <f t="array" ref="E115">SourceData_Poultry.SourceData_Poultry_FracGAMSSoil_Data()</f>
        <v>0.21</v>
      </c>
      <c r="F115" s="9" t="str" cm="1">
        <f t="array" ref="F115">SourceData_Poultry.SourceData_Poultry_FracGAMSSoil_Unit()</f>
        <v>(kg NH3-N + NOx-N)/kg N</v>
      </c>
      <c r="M115" s="1"/>
      <c r="V115" s="1"/>
    </row>
    <row r="116" spans="4:22" ht="20.100000000000001" customHeight="1" x14ac:dyDescent="0.2">
      <c r="M116" s="1"/>
      <c r="V116" s="1"/>
    </row>
    <row r="117" spans="4:22" ht="20.100000000000001" customHeight="1" x14ac:dyDescent="0.2">
      <c r="D117" s="2" t="str" cm="1">
        <f t="array" ref="D117">SourceData_Poultry.SourceData_Poultry_Liveweights_Title()</f>
        <v>Poultry - Liveweights (Wco) (kg)</v>
      </c>
      <c r="M117" s="1"/>
      <c r="V117" s="1"/>
    </row>
    <row r="118" spans="4:22" ht="20.100000000000001" customHeight="1" x14ac:dyDescent="0.2">
      <c r="D118" s="17" t="str" cm="1">
        <f t="array" ref="D118">SourceData_Poultry.SourceData_Poultry_Liveweights_Source()</f>
        <v>VEERG 2026: Table A.1.7.5</v>
      </c>
      <c r="M118" s="1"/>
    </row>
    <row r="119" spans="4:22" ht="20.100000000000001" customHeight="1" x14ac:dyDescent="0.2">
      <c r="D119" s="19" t="s">
        <v>536</v>
      </c>
      <c r="E119" s="19" t="s">
        <v>537</v>
      </c>
      <c r="M119" s="1"/>
    </row>
    <row r="120" spans="4:22" ht="20.100000000000001" customHeight="1" x14ac:dyDescent="0.2">
      <c r="D120" s="19" t="str" cm="1">
        <f t="array" ref="D120">Common_InputFunctions.Utility_DisplayArrayInTable(SourceData_Poultry.SourceData_Poultry_Liveweights_Data(),Table_SourceData_Poultry_Liveweights[[#Headers],[Livestock class j]],0)</f>
        <v>Chicken</v>
      </c>
      <c r="E120" s="19" cm="1">
        <f t="array" ref="E120">Common_InputFunctions.Utility_DisplayArrayInTable(SourceData_Poultry.SourceData_Poultry_Liveweights_Data(),Table_SourceData_Poultry_Liveweights[[#Headers],[Livestock class j]],0)</f>
        <v>1.3</v>
      </c>
      <c r="M120" s="1"/>
    </row>
    <row r="121" spans="4:22" ht="20.100000000000001" customHeight="1" x14ac:dyDescent="0.2">
      <c r="D121" s="1" t="str" cm="1">
        <f t="array" ref="D121">Common_InputFunctions.Utility_DisplayArrayInTable(SourceData_Poultry.SourceData_Poultry_Liveweights_Data(),Table_SourceData_Poultry_Liveweights[[#Headers],[Livestock class j]],0)</f>
        <v>Hen &gt;/=1 yr</v>
      </c>
      <c r="E121" s="19" cm="1">
        <f t="array" ref="E121">Common_InputFunctions.Utility_DisplayArrayInTable(SourceData_Poultry.SourceData_Poultry_Liveweights_Data(),Table_SourceData_Poultry_Liveweights[[#Headers],[Livestock class j]],0)</f>
        <v>2</v>
      </c>
      <c r="M121" s="1"/>
    </row>
    <row r="122" spans="4:22" ht="20.100000000000001" customHeight="1" x14ac:dyDescent="0.2">
      <c r="D122" s="1" t="str" cm="1">
        <f t="array" ref="D122">Common_InputFunctions.Utility_DisplayArrayInTable(SourceData_Poultry.SourceData_Poultry_Liveweights_Data(),Table_SourceData_Poultry_Liveweights[[#Headers],[Livestock class j]],0)</f>
        <v>Pullets</v>
      </c>
      <c r="E122" s="19" cm="1">
        <f t="array" ref="E122">Common_InputFunctions.Utility_DisplayArrayInTable(SourceData_Poultry.SourceData_Poultry_Liveweights_Data(),Table_SourceData_Poultry_Liveweights[[#Headers],[Livestock class j]],0)</f>
        <v>1.4</v>
      </c>
      <c r="M122" s="1"/>
    </row>
    <row r="123" spans="4:22" ht="20.100000000000001" customHeight="1" x14ac:dyDescent="0.2">
      <c r="D123" s="1" t="str" cm="1">
        <f t="array" ref="D123">Common_InputFunctions.Utility_DisplayArrayInTable(SourceData_Poultry.SourceData_Poultry_Liveweights_Data(),Table_SourceData_Poultry_Liveweights[[#Headers],[Livestock class j]],0)</f>
        <v>Broilers</v>
      </c>
      <c r="E123" s="19" cm="1">
        <f t="array" ref="E123">Common_InputFunctions.Utility_DisplayArrayInTable(SourceData_Poultry.SourceData_Poultry_Liveweights_Data(),Table_SourceData_Poultry_Liveweights[[#Headers],[Livestock class j]],0)</f>
        <v>1.2</v>
      </c>
      <c r="M123" s="1"/>
    </row>
    <row r="124" spans="4:22" ht="20.100000000000001" customHeight="1" x14ac:dyDescent="0.2">
      <c r="M124" s="1"/>
    </row>
    <row r="125" spans="4:22" ht="20.100000000000001" customHeight="1" x14ac:dyDescent="0.2">
      <c r="M125" s="1"/>
      <c r="V125" s="1"/>
    </row>
    <row r="126" spans="4:22" ht="20.100000000000001" customHeight="1" x14ac:dyDescent="0.2">
      <c r="M126" s="1"/>
      <c r="V126" s="1"/>
    </row>
    <row r="127" spans="4:22" ht="20.100000000000001" customHeight="1" x14ac:dyDescent="0.2">
      <c r="M127" s="1"/>
      <c r="V127" s="1"/>
    </row>
    <row r="128" spans="4:22" ht="20.100000000000001" customHeight="1" x14ac:dyDescent="0.2">
      <c r="M128" s="1"/>
      <c r="V128" s="1"/>
    </row>
    <row r="129" spans="13:22" ht="20.100000000000001" customHeight="1" x14ac:dyDescent="0.2">
      <c r="M129" s="1"/>
      <c r="V129" s="1"/>
    </row>
    <row r="130" spans="13:22" ht="20.100000000000001" customHeight="1" x14ac:dyDescent="0.2">
      <c r="M130" s="1"/>
      <c r="V130" s="1"/>
    </row>
    <row r="131" spans="13:22" ht="20.100000000000001" customHeight="1" x14ac:dyDescent="0.2">
      <c r="M131" s="1"/>
    </row>
    <row r="132" spans="13:22" ht="20.100000000000001" customHeight="1" x14ac:dyDescent="0.2">
      <c r="M132" s="1"/>
    </row>
    <row r="133" spans="13:22" ht="20.100000000000001" customHeight="1" x14ac:dyDescent="0.2">
      <c r="M133" s="1"/>
    </row>
    <row r="134" spans="13:22" ht="20.100000000000001" customHeight="1" x14ac:dyDescent="0.2">
      <c r="M134" s="1"/>
    </row>
    <row r="135" spans="13:22" ht="20.100000000000001" customHeight="1" x14ac:dyDescent="0.2">
      <c r="M135" s="1"/>
    </row>
    <row r="136" spans="13:22" ht="20.100000000000001" customHeight="1" x14ac:dyDescent="0.2">
      <c r="M136" s="1"/>
    </row>
    <row r="137" spans="13:22" ht="20.100000000000001" customHeight="1" x14ac:dyDescent="0.2">
      <c r="M137" s="1"/>
    </row>
    <row r="138" spans="13:22" ht="20.100000000000001" customHeight="1" x14ac:dyDescent="0.2">
      <c r="M138" s="1"/>
    </row>
    <row r="139" spans="13:22" ht="20.100000000000001" customHeight="1" x14ac:dyDescent="0.2">
      <c r="M139" s="1"/>
    </row>
    <row r="140" spans="13:22" ht="20.100000000000001" customHeight="1" x14ac:dyDescent="0.2">
      <c r="M140" s="1"/>
    </row>
    <row r="141" spans="13:22" ht="20.100000000000001" customHeight="1" x14ac:dyDescent="0.2">
      <c r="M141" s="1"/>
    </row>
    <row r="142" spans="13:22" ht="20.100000000000001" customHeight="1" x14ac:dyDescent="0.2">
      <c r="M142" s="1"/>
    </row>
    <row r="143" spans="13:22" ht="20.100000000000001" customHeight="1" x14ac:dyDescent="0.2">
      <c r="M143" s="1"/>
    </row>
    <row r="144" spans="13:22" ht="20.100000000000001" customHeight="1" x14ac:dyDescent="0.2">
      <c r="M144" s="1"/>
    </row>
    <row r="145" spans="13:13" ht="20.100000000000001" customHeight="1" x14ac:dyDescent="0.2">
      <c r="M145" s="1"/>
    </row>
    <row r="146" spans="13:13" ht="20.100000000000001" customHeight="1" x14ac:dyDescent="0.2">
      <c r="M146" s="1"/>
    </row>
    <row r="147" spans="13:13" ht="20.100000000000001" customHeight="1" x14ac:dyDescent="0.2">
      <c r="M147" s="1"/>
    </row>
    <row r="148" spans="13:13" ht="20.100000000000001" customHeight="1" x14ac:dyDescent="0.2">
      <c r="M148" s="1"/>
    </row>
    <row r="149" spans="13:13" ht="20.100000000000001" customHeight="1" x14ac:dyDescent="0.2">
      <c r="M149" s="1"/>
    </row>
    <row r="150" spans="13:13" ht="20.100000000000001" customHeight="1" x14ac:dyDescent="0.2">
      <c r="M150" s="1"/>
    </row>
    <row r="151" spans="13:13" ht="20.100000000000001" customHeight="1" x14ac:dyDescent="0.2">
      <c r="M151" s="1"/>
    </row>
    <row r="152" spans="13:13" ht="20.100000000000001" customHeight="1" x14ac:dyDescent="0.2">
      <c r="M152" s="1"/>
    </row>
    <row r="153" spans="13:13" ht="20.100000000000001" customHeight="1" x14ac:dyDescent="0.2">
      <c r="M153" s="1"/>
    </row>
    <row r="154" spans="13:13" ht="20.100000000000001" customHeight="1" x14ac:dyDescent="0.2">
      <c r="M154" s="1"/>
    </row>
    <row r="155" spans="13:13" ht="20.100000000000001" customHeight="1" x14ac:dyDescent="0.2">
      <c r="M155" s="1"/>
    </row>
    <row r="156" spans="13:13" ht="20.100000000000001" customHeight="1" x14ac:dyDescent="0.2">
      <c r="M156" s="1"/>
    </row>
    <row r="157" spans="13:13" ht="20.100000000000001" customHeight="1" x14ac:dyDescent="0.2">
      <c r="M157" s="1"/>
    </row>
    <row r="158" spans="13:13" ht="20.100000000000001" customHeight="1" x14ac:dyDescent="0.2">
      <c r="M158" s="1"/>
    </row>
    <row r="159" spans="13:13" ht="20.100000000000001" customHeight="1" x14ac:dyDescent="0.2">
      <c r="M159" s="1"/>
    </row>
    <row r="160" spans="13:13" ht="20.100000000000001" customHeight="1" x14ac:dyDescent="0.2">
      <c r="M160" s="1"/>
    </row>
    <row r="161" spans="13:13" ht="20.100000000000001" customHeight="1" x14ac:dyDescent="0.2">
      <c r="M161" s="1"/>
    </row>
    <row r="162" spans="13:13" ht="20.100000000000001" customHeight="1" x14ac:dyDescent="0.2">
      <c r="M162" s="1"/>
    </row>
    <row r="163" spans="13:13" ht="20.100000000000001" customHeight="1" x14ac:dyDescent="0.2">
      <c r="M163" s="1"/>
    </row>
    <row r="164" spans="13:13" ht="20.100000000000001" customHeight="1" x14ac:dyDescent="0.2">
      <c r="M164" s="1"/>
    </row>
    <row r="165" spans="13:13" ht="20.100000000000001" customHeight="1" x14ac:dyDescent="0.2">
      <c r="M165" s="1"/>
    </row>
    <row r="166" spans="13:13" ht="20.100000000000001" customHeight="1" x14ac:dyDescent="0.2">
      <c r="M166" s="1"/>
    </row>
    <row r="167" spans="13:13" ht="20.100000000000001" customHeight="1" x14ac:dyDescent="0.2">
      <c r="M167" s="1"/>
    </row>
    <row r="168" spans="13:13" ht="20.100000000000001" customHeight="1" x14ac:dyDescent="0.2">
      <c r="M168" s="1"/>
    </row>
    <row r="169" spans="13:13" ht="20.100000000000001" customHeight="1" x14ac:dyDescent="0.2">
      <c r="M169" s="1"/>
    </row>
    <row r="170" spans="13:13" ht="20.100000000000001" customHeight="1" x14ac:dyDescent="0.2">
      <c r="M170" s="1"/>
    </row>
    <row r="171" spans="13:13" ht="20.100000000000001" customHeight="1" x14ac:dyDescent="0.2">
      <c r="M171" s="1"/>
    </row>
    <row r="172" spans="13:13" ht="20.100000000000001" customHeight="1" x14ac:dyDescent="0.2">
      <c r="M172" s="1"/>
    </row>
    <row r="173" spans="13:13" ht="20.100000000000001" customHeight="1" x14ac:dyDescent="0.2">
      <c r="M173" s="1"/>
    </row>
    <row r="174" spans="13:13" ht="20.100000000000001" customHeight="1" x14ac:dyDescent="0.2">
      <c r="M174" s="1"/>
    </row>
    <row r="175" spans="13:13" ht="20.100000000000001" customHeight="1" x14ac:dyDescent="0.2">
      <c r="M175" s="1"/>
    </row>
    <row r="176" spans="13:13" ht="20.100000000000001" customHeight="1" x14ac:dyDescent="0.2">
      <c r="M176" s="1"/>
    </row>
    <row r="177" spans="13:13" ht="20.100000000000001" customHeight="1" x14ac:dyDescent="0.2">
      <c r="M177" s="1"/>
    </row>
    <row r="178" spans="13:13" ht="20.100000000000001" customHeight="1" x14ac:dyDescent="0.2">
      <c r="M178" s="1"/>
    </row>
    <row r="179" spans="13:13" ht="20.100000000000001" customHeight="1" x14ac:dyDescent="0.2">
      <c r="M179" s="1"/>
    </row>
    <row r="180" spans="13:13" ht="20.100000000000001" customHeight="1" x14ac:dyDescent="0.2">
      <c r="M180" s="1"/>
    </row>
    <row r="181" spans="13:13" ht="20.100000000000001" customHeight="1" x14ac:dyDescent="0.2">
      <c r="M181" s="1"/>
    </row>
    <row r="182" spans="13:13" ht="20.100000000000001" customHeight="1" x14ac:dyDescent="0.2">
      <c r="M182" s="1"/>
    </row>
    <row r="183" spans="13:13" ht="20.100000000000001" customHeight="1" x14ac:dyDescent="0.2">
      <c r="M183" s="1"/>
    </row>
    <row r="184" spans="13:13" ht="20.100000000000001" customHeight="1" x14ac:dyDescent="0.2">
      <c r="M184" s="1"/>
    </row>
    <row r="185" spans="13:13" ht="20.100000000000001" customHeight="1" x14ac:dyDescent="0.2">
      <c r="M185" s="1"/>
    </row>
    <row r="186" spans="13:13" ht="20.100000000000001" customHeight="1" x14ac:dyDescent="0.2">
      <c r="M186" s="1"/>
    </row>
    <row r="187" spans="13:13" ht="20.100000000000001" customHeight="1" x14ac:dyDescent="0.2">
      <c r="M187" s="1"/>
    </row>
    <row r="188" spans="13:13" ht="20.100000000000001" customHeight="1" x14ac:dyDescent="0.2">
      <c r="M188" s="1"/>
    </row>
    <row r="189" spans="13:13" ht="20.100000000000001" customHeight="1" x14ac:dyDescent="0.2">
      <c r="M189" s="1"/>
    </row>
    <row r="190" spans="13:13" ht="20.100000000000001" customHeight="1" x14ac:dyDescent="0.2">
      <c r="M190" s="1"/>
    </row>
    <row r="191" spans="13:13" ht="20.100000000000001" customHeight="1" x14ac:dyDescent="0.2">
      <c r="M191" s="1"/>
    </row>
    <row r="192" spans="13:13" ht="20.100000000000001" customHeight="1" x14ac:dyDescent="0.2">
      <c r="M192" s="1"/>
    </row>
    <row r="193" spans="13:13" ht="20.100000000000001" customHeight="1" x14ac:dyDescent="0.2">
      <c r="M193" s="1"/>
    </row>
    <row r="194" spans="13:13" ht="20.100000000000001" customHeight="1" x14ac:dyDescent="0.2">
      <c r="M194" s="1"/>
    </row>
    <row r="195" spans="13:13" ht="20.100000000000001" customHeight="1" x14ac:dyDescent="0.2">
      <c r="M195" s="1"/>
    </row>
    <row r="196" spans="13:13" ht="20.100000000000001" customHeight="1" x14ac:dyDescent="0.2">
      <c r="M196" s="1"/>
    </row>
    <row r="197" spans="13:13" ht="20.100000000000001" customHeight="1" x14ac:dyDescent="0.2">
      <c r="M197" s="1"/>
    </row>
    <row r="198" spans="13:13" ht="20.100000000000001" customHeight="1" x14ac:dyDescent="0.2">
      <c r="M198" s="1"/>
    </row>
    <row r="199" spans="13:13" ht="20.100000000000001" customHeight="1" x14ac:dyDescent="0.2">
      <c r="M199" s="1"/>
    </row>
    <row r="200" spans="13:13" ht="20.100000000000001" customHeight="1" x14ac:dyDescent="0.2">
      <c r="M200" s="1"/>
    </row>
    <row r="201" spans="13:13" ht="20.100000000000001" customHeight="1" x14ac:dyDescent="0.2">
      <c r="M201" s="1"/>
    </row>
    <row r="202" spans="13:13" ht="20.100000000000001" customHeight="1" x14ac:dyDescent="0.2">
      <c r="M202" s="1"/>
    </row>
    <row r="203" spans="13:13" ht="20.100000000000001" customHeight="1" x14ac:dyDescent="0.2">
      <c r="M203" s="1"/>
    </row>
    <row r="204" spans="13:13" ht="20.100000000000001" customHeight="1" x14ac:dyDescent="0.2">
      <c r="M204" s="1"/>
    </row>
    <row r="205" spans="13:13" ht="20.100000000000001" customHeight="1" x14ac:dyDescent="0.2">
      <c r="M205" s="1"/>
    </row>
    <row r="206" spans="13:13" ht="20.100000000000001" customHeight="1" x14ac:dyDescent="0.2">
      <c r="M206" s="1"/>
    </row>
    <row r="207" spans="13:13" ht="20.100000000000001" customHeight="1" x14ac:dyDescent="0.2">
      <c r="M207" s="1"/>
    </row>
    <row r="208" spans="13:13" ht="20.100000000000001" customHeight="1" x14ac:dyDescent="0.2">
      <c r="M208" s="1"/>
    </row>
    <row r="209" spans="13:13" ht="20.100000000000001" customHeight="1" x14ac:dyDescent="0.2">
      <c r="M209" s="1"/>
    </row>
    <row r="210" spans="13:13" ht="20.100000000000001" customHeight="1" x14ac:dyDescent="0.2">
      <c r="M210" s="1"/>
    </row>
    <row r="211" spans="13:13" ht="20.100000000000001" customHeight="1" x14ac:dyDescent="0.2">
      <c r="M211" s="1"/>
    </row>
    <row r="212" spans="13:13" ht="20.100000000000001" customHeight="1" x14ac:dyDescent="0.2">
      <c r="M212" s="1"/>
    </row>
    <row r="213" spans="13:13" ht="20.100000000000001" customHeight="1" x14ac:dyDescent="0.2">
      <c r="M213" s="1"/>
    </row>
    <row r="214" spans="13:13" ht="20.100000000000001" customHeight="1" x14ac:dyDescent="0.2">
      <c r="M214" s="1"/>
    </row>
    <row r="215" spans="13:13" ht="20.100000000000001" customHeight="1" x14ac:dyDescent="0.2">
      <c r="M215" s="1"/>
    </row>
    <row r="216" spans="13:13" ht="20.100000000000001" customHeight="1" x14ac:dyDescent="0.2">
      <c r="M216" s="1"/>
    </row>
    <row r="217" spans="13:13" ht="20.100000000000001" customHeight="1" x14ac:dyDescent="0.2">
      <c r="M217" s="1"/>
    </row>
    <row r="218" spans="13:13" ht="20.100000000000001" customHeight="1" x14ac:dyDescent="0.2">
      <c r="M218" s="1"/>
    </row>
    <row r="219" spans="13:13" ht="20.100000000000001" customHeight="1" x14ac:dyDescent="0.2">
      <c r="M219" s="1"/>
    </row>
    <row r="220" spans="13:13" ht="20.100000000000001" customHeight="1" x14ac:dyDescent="0.2">
      <c r="M220" s="1"/>
    </row>
    <row r="221" spans="13:13" ht="20.100000000000001" customHeight="1" x14ac:dyDescent="0.2">
      <c r="M221" s="1"/>
    </row>
    <row r="222" spans="13:13" ht="20.100000000000001" customHeight="1" x14ac:dyDescent="0.2">
      <c r="M222" s="1"/>
    </row>
    <row r="223" spans="13:13" ht="20.100000000000001" customHeight="1" x14ac:dyDescent="0.2">
      <c r="M223" s="1"/>
    </row>
    <row r="224" spans="13:13" ht="20.100000000000001" customHeight="1" x14ac:dyDescent="0.2">
      <c r="M224" s="1"/>
    </row>
    <row r="225" spans="13:13" ht="20.100000000000001" customHeight="1" x14ac:dyDescent="0.2">
      <c r="M225" s="1"/>
    </row>
    <row r="226" spans="13:13" ht="20.100000000000001" customHeight="1" x14ac:dyDescent="0.2">
      <c r="M226" s="1"/>
    </row>
    <row r="227" spans="13:13" ht="20.100000000000001" customHeight="1" x14ac:dyDescent="0.2">
      <c r="M227" s="1"/>
    </row>
    <row r="228" spans="13:13" ht="20.100000000000001" customHeight="1" x14ac:dyDescent="0.2">
      <c r="M228" s="1"/>
    </row>
    <row r="229" spans="13:13" ht="20.100000000000001" customHeight="1" x14ac:dyDescent="0.2">
      <c r="M229" s="1"/>
    </row>
    <row r="230" spans="13:13" ht="20.100000000000001" customHeight="1" x14ac:dyDescent="0.2">
      <c r="M230" s="1"/>
    </row>
    <row r="231" spans="13:13" ht="20.100000000000001" customHeight="1" x14ac:dyDescent="0.2">
      <c r="M231" s="1"/>
    </row>
    <row r="232" spans="13:13" ht="20.100000000000001" customHeight="1" x14ac:dyDescent="0.2">
      <c r="M232" s="1"/>
    </row>
    <row r="233" spans="13:13" ht="20.100000000000001" customHeight="1" x14ac:dyDescent="0.2">
      <c r="M233" s="1"/>
    </row>
    <row r="234" spans="13:13" ht="20.100000000000001" customHeight="1" x14ac:dyDescent="0.2">
      <c r="M234" s="1"/>
    </row>
    <row r="235" spans="13:13" ht="20.100000000000001" customHeight="1" x14ac:dyDescent="0.2">
      <c r="M235" s="1"/>
    </row>
    <row r="236" spans="13:13" ht="20.100000000000001" customHeight="1" x14ac:dyDescent="0.2">
      <c r="M236" s="1"/>
    </row>
    <row r="237" spans="13:13" ht="20.100000000000001" customHeight="1" x14ac:dyDescent="0.2">
      <c r="M237" s="1"/>
    </row>
    <row r="238" spans="13:13" ht="20.100000000000001" customHeight="1" x14ac:dyDescent="0.2">
      <c r="M238" s="1"/>
    </row>
    <row r="239" spans="13:13" ht="20.100000000000001" customHeight="1" x14ac:dyDescent="0.2">
      <c r="M239" s="1"/>
    </row>
    <row r="240" spans="13:13" ht="20.100000000000001" customHeight="1" x14ac:dyDescent="0.2">
      <c r="M240" s="1"/>
    </row>
    <row r="241" spans="13:13" ht="20.100000000000001" customHeight="1" x14ac:dyDescent="0.2">
      <c r="M241" s="1"/>
    </row>
    <row r="242" spans="13:13" ht="20.100000000000001" customHeight="1" x14ac:dyDescent="0.2">
      <c r="M242" s="1"/>
    </row>
    <row r="243" spans="13:13" ht="20.100000000000001" customHeight="1" x14ac:dyDescent="0.2">
      <c r="M243" s="1"/>
    </row>
    <row r="244" spans="13:13" ht="20.100000000000001" customHeight="1" x14ac:dyDescent="0.2">
      <c r="M244" s="1"/>
    </row>
    <row r="245" spans="13:13" ht="20.100000000000001" customHeight="1" x14ac:dyDescent="0.2">
      <c r="M245" s="1"/>
    </row>
    <row r="246" spans="13:13" ht="20.100000000000001" customHeight="1" x14ac:dyDescent="0.2">
      <c r="M246" s="1"/>
    </row>
    <row r="247" spans="13:13" ht="20.100000000000001" customHeight="1" x14ac:dyDescent="0.2">
      <c r="M247" s="1"/>
    </row>
    <row r="248" spans="13:13" ht="20.100000000000001" customHeight="1" x14ac:dyDescent="0.2">
      <c r="M248" s="1"/>
    </row>
    <row r="249" spans="13:13" ht="20.100000000000001" customHeight="1" x14ac:dyDescent="0.2">
      <c r="M249" s="1"/>
    </row>
    <row r="250" spans="13:13" ht="20.100000000000001" customHeight="1" x14ac:dyDescent="0.2">
      <c r="M250" s="1"/>
    </row>
    <row r="251" spans="13:13" ht="20.100000000000001" customHeight="1" x14ac:dyDescent="0.2">
      <c r="M251" s="1"/>
    </row>
    <row r="252" spans="13:13" ht="20.100000000000001" customHeight="1" x14ac:dyDescent="0.2">
      <c r="M252" s="1"/>
    </row>
    <row r="253" spans="13:13" ht="20.100000000000001" customHeight="1" x14ac:dyDescent="0.2">
      <c r="M253" s="1"/>
    </row>
    <row r="254" spans="13:13" ht="20.100000000000001" customHeight="1" x14ac:dyDescent="0.2">
      <c r="M254" s="1"/>
    </row>
    <row r="255" spans="13:13" ht="20.100000000000001" customHeight="1" x14ac:dyDescent="0.2">
      <c r="M255" s="1"/>
    </row>
    <row r="256" spans="13:13" ht="20.100000000000001" customHeight="1" x14ac:dyDescent="0.2">
      <c r="M256" s="1"/>
    </row>
    <row r="257" spans="13:13" ht="20.100000000000001" customHeight="1" x14ac:dyDescent="0.2">
      <c r="M257" s="1"/>
    </row>
    <row r="258" spans="13:13" ht="20.100000000000001" customHeight="1" x14ac:dyDescent="0.2">
      <c r="M258" s="1"/>
    </row>
    <row r="259" spans="13:13" ht="20.100000000000001" customHeight="1" x14ac:dyDescent="0.2">
      <c r="M259" s="1"/>
    </row>
    <row r="260" spans="13:13" ht="20.100000000000001" customHeight="1" x14ac:dyDescent="0.2">
      <c r="M260" s="1"/>
    </row>
    <row r="261" spans="13:13" ht="20.100000000000001" customHeight="1" x14ac:dyDescent="0.2">
      <c r="M261" s="1"/>
    </row>
    <row r="262" spans="13:13" ht="20.100000000000001" customHeight="1" x14ac:dyDescent="0.2">
      <c r="M262" s="1"/>
    </row>
    <row r="263" spans="13:13" ht="20.100000000000001" customHeight="1" x14ac:dyDescent="0.2">
      <c r="M263" s="1"/>
    </row>
    <row r="264" spans="13:13" ht="20.100000000000001" customHeight="1" x14ac:dyDescent="0.2">
      <c r="M264" s="1"/>
    </row>
    <row r="265" spans="13:13" ht="20.100000000000001" customHeight="1" x14ac:dyDescent="0.2">
      <c r="M265" s="1"/>
    </row>
    <row r="266" spans="13:13" ht="20.100000000000001" customHeight="1" x14ac:dyDescent="0.2">
      <c r="M266" s="1"/>
    </row>
    <row r="267" spans="13:13" ht="20.100000000000001" customHeight="1" x14ac:dyDescent="0.2">
      <c r="M267" s="1"/>
    </row>
    <row r="268" spans="13:13" ht="20.100000000000001" customHeight="1" x14ac:dyDescent="0.2">
      <c r="M268" s="1"/>
    </row>
    <row r="269" spans="13:13" ht="20.100000000000001" customHeight="1" x14ac:dyDescent="0.2">
      <c r="M269" s="1"/>
    </row>
    <row r="270" spans="13:13" ht="20.100000000000001" customHeight="1" x14ac:dyDescent="0.2">
      <c r="M270" s="1"/>
    </row>
    <row r="271" spans="13:13" ht="20.100000000000001" customHeight="1" x14ac:dyDescent="0.2">
      <c r="M271" s="1"/>
    </row>
    <row r="272" spans="13:13" ht="20.100000000000001" customHeight="1" x14ac:dyDescent="0.2">
      <c r="M272" s="1"/>
    </row>
    <row r="273" spans="13:13" ht="20.100000000000001" customHeight="1" x14ac:dyDescent="0.2">
      <c r="M273" s="1"/>
    </row>
    <row r="274" spans="13:13" ht="20.100000000000001" customHeight="1" x14ac:dyDescent="0.2">
      <c r="M274" s="1"/>
    </row>
    <row r="275" spans="13:13" ht="20.100000000000001" customHeight="1" x14ac:dyDescent="0.2">
      <c r="M275" s="1"/>
    </row>
    <row r="276" spans="13:13" ht="20.100000000000001" customHeight="1" x14ac:dyDescent="0.2">
      <c r="M276" s="1"/>
    </row>
    <row r="277" spans="13:13" ht="20.100000000000001" customHeight="1" x14ac:dyDescent="0.2">
      <c r="M277" s="1"/>
    </row>
    <row r="278" spans="13:13" ht="20.100000000000001" customHeight="1" x14ac:dyDescent="0.2">
      <c r="M278" s="1"/>
    </row>
    <row r="279" spans="13:13" ht="20.100000000000001" customHeight="1" x14ac:dyDescent="0.2">
      <c r="M279" s="1"/>
    </row>
    <row r="280" spans="13:13" ht="20.100000000000001" customHeight="1" x14ac:dyDescent="0.2">
      <c r="M280" s="1"/>
    </row>
    <row r="281" spans="13:13" ht="20.100000000000001" customHeight="1" x14ac:dyDescent="0.2">
      <c r="M281" s="1"/>
    </row>
    <row r="282" spans="13:13" ht="20.100000000000001" customHeight="1" x14ac:dyDescent="0.2">
      <c r="M282" s="1"/>
    </row>
    <row r="283" spans="13:13" ht="20.100000000000001" customHeight="1" x14ac:dyDescent="0.2">
      <c r="M283" s="1"/>
    </row>
    <row r="284" spans="13:13" ht="20.100000000000001" customHeight="1" x14ac:dyDescent="0.2">
      <c r="M284" s="1"/>
    </row>
    <row r="285" spans="13:13" ht="20.100000000000001" customHeight="1" x14ac:dyDescent="0.2">
      <c r="M285" s="1"/>
    </row>
    <row r="286" spans="13:13" ht="20.100000000000001" customHeight="1" x14ac:dyDescent="0.2">
      <c r="M286" s="1"/>
    </row>
    <row r="287" spans="13:13" ht="20.100000000000001" customHeight="1" x14ac:dyDescent="0.2">
      <c r="M287" s="1"/>
    </row>
    <row r="288" spans="13:13" ht="20.100000000000001" customHeight="1" x14ac:dyDescent="0.2">
      <c r="M288" s="1"/>
    </row>
    <row r="289" spans="13:13" ht="20.100000000000001" customHeight="1" x14ac:dyDescent="0.2">
      <c r="M289" s="1"/>
    </row>
    <row r="290" spans="13:13" ht="20.100000000000001" customHeight="1" x14ac:dyDescent="0.2">
      <c r="M290" s="1"/>
    </row>
    <row r="291" spans="13:13" ht="20.100000000000001" customHeight="1" x14ac:dyDescent="0.2">
      <c r="M291" s="1"/>
    </row>
    <row r="292" spans="13:13" ht="20.100000000000001" customHeight="1" x14ac:dyDescent="0.2">
      <c r="M292" s="1"/>
    </row>
    <row r="293" spans="13:13" ht="20.100000000000001" customHeight="1" x14ac:dyDescent="0.2">
      <c r="M293" s="1"/>
    </row>
    <row r="294" spans="13:13" ht="20.100000000000001" customHeight="1" x14ac:dyDescent="0.2">
      <c r="M294" s="1"/>
    </row>
    <row r="295" spans="13:13" ht="20.100000000000001" customHeight="1" x14ac:dyDescent="0.2">
      <c r="M295" s="1"/>
    </row>
    <row r="296" spans="13:13" ht="20.100000000000001" customHeight="1" x14ac:dyDescent="0.2">
      <c r="M296" s="1"/>
    </row>
    <row r="297" spans="13:13" ht="20.100000000000001" customHeight="1" x14ac:dyDescent="0.2">
      <c r="M297" s="1"/>
    </row>
    <row r="298" spans="13:13" ht="20.100000000000001" customHeight="1" x14ac:dyDescent="0.2">
      <c r="M298" s="1"/>
    </row>
    <row r="299" spans="13:13" ht="20.100000000000001" customHeight="1" x14ac:dyDescent="0.2">
      <c r="M299" s="1"/>
    </row>
    <row r="300" spans="13:13" ht="20.100000000000001" customHeight="1" x14ac:dyDescent="0.2">
      <c r="M300" s="1"/>
    </row>
    <row r="301" spans="13:13" ht="20.100000000000001" customHeight="1" x14ac:dyDescent="0.2">
      <c r="M301" s="1"/>
    </row>
    <row r="302" spans="13:13" ht="20.100000000000001" customHeight="1" x14ac:dyDescent="0.2">
      <c r="M302" s="1"/>
    </row>
    <row r="303" spans="13:13" ht="20.100000000000001" customHeight="1" x14ac:dyDescent="0.2">
      <c r="M303" s="1"/>
    </row>
    <row r="304" spans="13:13" ht="20.100000000000001" customHeight="1" x14ac:dyDescent="0.2">
      <c r="M304" s="1"/>
    </row>
    <row r="305" spans="13:13" ht="20.100000000000001" customHeight="1" x14ac:dyDescent="0.2">
      <c r="M305" s="1"/>
    </row>
    <row r="306" spans="13:13" ht="20.100000000000001" customHeight="1" x14ac:dyDescent="0.2">
      <c r="M306" s="1"/>
    </row>
    <row r="307" spans="13:13" ht="20.100000000000001" customHeight="1" x14ac:dyDescent="0.2">
      <c r="M307" s="1"/>
    </row>
    <row r="308" spans="13:13" ht="20.100000000000001" customHeight="1" x14ac:dyDescent="0.2">
      <c r="M308" s="1"/>
    </row>
    <row r="309" spans="13:13" ht="20.100000000000001" customHeight="1" x14ac:dyDescent="0.2">
      <c r="M309" s="1"/>
    </row>
    <row r="310" spans="13:13" ht="20.100000000000001" customHeight="1" x14ac:dyDescent="0.2">
      <c r="M310" s="1"/>
    </row>
    <row r="311" spans="13:13" ht="20.100000000000001" customHeight="1" x14ac:dyDescent="0.2">
      <c r="M311" s="1"/>
    </row>
    <row r="312" spans="13:13" ht="20.100000000000001" customHeight="1" x14ac:dyDescent="0.2">
      <c r="M312" s="1"/>
    </row>
    <row r="313" spans="13:13" ht="20.100000000000001" customHeight="1" x14ac:dyDescent="0.2">
      <c r="M313" s="1"/>
    </row>
    <row r="314" spans="13:13" ht="20.100000000000001" customHeight="1" x14ac:dyDescent="0.2">
      <c r="M314" s="1"/>
    </row>
    <row r="315" spans="13:13" ht="20.100000000000001" customHeight="1" x14ac:dyDescent="0.2">
      <c r="M315" s="1"/>
    </row>
    <row r="316" spans="13:13" ht="20.100000000000001" customHeight="1" x14ac:dyDescent="0.2">
      <c r="M316" s="1"/>
    </row>
    <row r="317" spans="13:13" ht="20.100000000000001" customHeight="1" x14ac:dyDescent="0.2">
      <c r="M317" s="1"/>
    </row>
    <row r="318" spans="13:13" ht="20.100000000000001" customHeight="1" x14ac:dyDescent="0.2">
      <c r="M318" s="1"/>
    </row>
    <row r="319" spans="13:13" ht="20.100000000000001" customHeight="1" x14ac:dyDescent="0.2">
      <c r="M319" s="1"/>
    </row>
    <row r="320" spans="13:13" ht="20.100000000000001" customHeight="1" x14ac:dyDescent="0.2">
      <c r="M320" s="1"/>
    </row>
    <row r="321" spans="13:13" ht="20.100000000000001" customHeight="1" x14ac:dyDescent="0.2">
      <c r="M321" s="1"/>
    </row>
    <row r="322" spans="13:13" ht="20.100000000000001" customHeight="1" x14ac:dyDescent="0.2">
      <c r="M322" s="1"/>
    </row>
    <row r="323" spans="13:13" ht="20.100000000000001" customHeight="1" x14ac:dyDescent="0.2">
      <c r="M323" s="1"/>
    </row>
    <row r="324" spans="13:13" ht="20.100000000000001" customHeight="1" x14ac:dyDescent="0.2">
      <c r="M324" s="1"/>
    </row>
    <row r="325" spans="13:13" ht="20.100000000000001" customHeight="1" x14ac:dyDescent="0.2">
      <c r="M325" s="1"/>
    </row>
    <row r="326" spans="13:13" ht="20.100000000000001" customHeight="1" x14ac:dyDescent="0.2">
      <c r="M326" s="1"/>
    </row>
    <row r="327" spans="13:13" ht="20.100000000000001" customHeight="1" x14ac:dyDescent="0.2">
      <c r="M327" s="1"/>
    </row>
    <row r="328" spans="13:13" ht="20.100000000000001" customHeight="1" x14ac:dyDescent="0.2">
      <c r="M328" s="1"/>
    </row>
    <row r="329" spans="13:13" ht="20.100000000000001" customHeight="1" x14ac:dyDescent="0.2">
      <c r="M329" s="1"/>
    </row>
    <row r="330" spans="13:13" ht="20.100000000000001" customHeight="1" x14ac:dyDescent="0.2">
      <c r="M330" s="1"/>
    </row>
    <row r="331" spans="13:13" ht="20.100000000000001" customHeight="1" x14ac:dyDescent="0.2">
      <c r="M331" s="1"/>
    </row>
    <row r="332" spans="13:13" ht="20.100000000000001" customHeight="1" x14ac:dyDescent="0.2">
      <c r="M332" s="1"/>
    </row>
    <row r="333" spans="13:13" ht="20.100000000000001" customHeight="1" x14ac:dyDescent="0.2">
      <c r="M333" s="1"/>
    </row>
    <row r="334" spans="13:13" ht="20.100000000000001" customHeight="1" x14ac:dyDescent="0.2">
      <c r="M334" s="1"/>
    </row>
    <row r="335" spans="13:13" ht="20.100000000000001" customHeight="1" x14ac:dyDescent="0.2">
      <c r="M335" s="1"/>
    </row>
    <row r="336" spans="13:13" ht="20.100000000000001" customHeight="1" x14ac:dyDescent="0.2">
      <c r="M336" s="1"/>
    </row>
    <row r="337" spans="13:13" ht="20.100000000000001" customHeight="1" x14ac:dyDescent="0.2">
      <c r="M337" s="1"/>
    </row>
    <row r="338" spans="13:13" ht="20.100000000000001" customHeight="1" x14ac:dyDescent="0.2">
      <c r="M338" s="1"/>
    </row>
    <row r="339" spans="13:13" ht="20.100000000000001" customHeight="1" x14ac:dyDescent="0.2">
      <c r="M339" s="1"/>
    </row>
    <row r="340" spans="13:13" ht="20.100000000000001" customHeight="1" x14ac:dyDescent="0.2">
      <c r="M340" s="1"/>
    </row>
    <row r="341" spans="13:13" ht="20.100000000000001" customHeight="1" x14ac:dyDescent="0.2">
      <c r="M341" s="1"/>
    </row>
    <row r="342" spans="13:13" ht="20.100000000000001" customHeight="1" x14ac:dyDescent="0.2">
      <c r="M342" s="1"/>
    </row>
    <row r="343" spans="13:13" ht="20.100000000000001" customHeight="1" x14ac:dyDescent="0.2">
      <c r="M343" s="1"/>
    </row>
    <row r="344" spans="13:13" ht="20.100000000000001" customHeight="1" x14ac:dyDescent="0.2">
      <c r="M344" s="1"/>
    </row>
    <row r="345" spans="13:13" ht="20.100000000000001" customHeight="1" x14ac:dyDescent="0.2">
      <c r="M345" s="1"/>
    </row>
    <row r="346" spans="13:13" ht="20.100000000000001" customHeight="1" x14ac:dyDescent="0.2">
      <c r="M346" s="1"/>
    </row>
    <row r="347" spans="13:13" ht="20.100000000000001" customHeight="1" x14ac:dyDescent="0.2">
      <c r="M347" s="1"/>
    </row>
    <row r="348" spans="13:13" ht="20.100000000000001" customHeight="1" x14ac:dyDescent="0.2">
      <c r="M348" s="1"/>
    </row>
    <row r="349" spans="13:13" ht="20.100000000000001" customHeight="1" x14ac:dyDescent="0.2">
      <c r="M349" s="1"/>
    </row>
    <row r="350" spans="13:13" ht="20.100000000000001" customHeight="1" x14ac:dyDescent="0.2">
      <c r="M350" s="1"/>
    </row>
    <row r="351" spans="13:13" ht="20.100000000000001" customHeight="1" x14ac:dyDescent="0.2">
      <c r="M351" s="1"/>
    </row>
    <row r="352" spans="13:13" ht="20.100000000000001" customHeight="1" x14ac:dyDescent="0.2">
      <c r="M352" s="1"/>
    </row>
    <row r="353" spans="13:13" ht="20.100000000000001" customHeight="1" x14ac:dyDescent="0.2">
      <c r="M353" s="1"/>
    </row>
    <row r="354" spans="13:13" ht="20.100000000000001" customHeight="1" x14ac:dyDescent="0.2">
      <c r="M354" s="1"/>
    </row>
    <row r="355" spans="13:13" ht="20.100000000000001" customHeight="1" x14ac:dyDescent="0.2">
      <c r="M355" s="1"/>
    </row>
    <row r="356" spans="13:13" ht="20.100000000000001" customHeight="1" x14ac:dyDescent="0.2">
      <c r="M356" s="1"/>
    </row>
    <row r="357" spans="13:13" ht="20.100000000000001" customHeight="1" x14ac:dyDescent="0.2">
      <c r="M357" s="1"/>
    </row>
    <row r="358" spans="13:13" ht="20.100000000000001" customHeight="1" x14ac:dyDescent="0.2">
      <c r="M358" s="1"/>
    </row>
    <row r="359" spans="13:13" ht="20.100000000000001" customHeight="1" x14ac:dyDescent="0.2">
      <c r="M359" s="1"/>
    </row>
    <row r="360" spans="13:13" ht="20.100000000000001" customHeight="1" x14ac:dyDescent="0.2">
      <c r="M360" s="1"/>
    </row>
    <row r="361" spans="13:13" ht="20.100000000000001" customHeight="1" x14ac:dyDescent="0.2">
      <c r="M361" s="1"/>
    </row>
    <row r="362" spans="13:13" ht="20.100000000000001" customHeight="1" x14ac:dyDescent="0.2">
      <c r="M362" s="1"/>
    </row>
    <row r="363" spans="13:13" ht="20.100000000000001" customHeight="1" x14ac:dyDescent="0.2">
      <c r="M363" s="1"/>
    </row>
    <row r="364" spans="13:13" ht="20.100000000000001" customHeight="1" x14ac:dyDescent="0.2">
      <c r="M364" s="1"/>
    </row>
    <row r="365" spans="13:13" ht="20.100000000000001" customHeight="1" x14ac:dyDescent="0.2">
      <c r="M365" s="1"/>
    </row>
    <row r="366" spans="13:13" ht="20.100000000000001" customHeight="1" x14ac:dyDescent="0.2">
      <c r="M366" s="1"/>
    </row>
    <row r="367" spans="13:13" ht="20.100000000000001" customHeight="1" x14ac:dyDescent="0.2">
      <c r="M367" s="1"/>
    </row>
    <row r="368" spans="13:13" ht="20.100000000000001" customHeight="1" x14ac:dyDescent="0.2">
      <c r="M368" s="1"/>
    </row>
    <row r="369" spans="13:13" ht="20.100000000000001" customHeight="1" x14ac:dyDescent="0.2">
      <c r="M369" s="1"/>
    </row>
    <row r="370" spans="13:13" ht="20.100000000000001" customHeight="1" x14ac:dyDescent="0.2">
      <c r="M370" s="1"/>
    </row>
    <row r="371" spans="13:13" ht="20.100000000000001" customHeight="1" x14ac:dyDescent="0.2">
      <c r="M371" s="1"/>
    </row>
    <row r="372" spans="13:13" ht="20.100000000000001" customHeight="1" x14ac:dyDescent="0.2">
      <c r="M372" s="1"/>
    </row>
    <row r="373" spans="13:13" ht="20.100000000000001" customHeight="1" x14ac:dyDescent="0.2">
      <c r="M373" s="1"/>
    </row>
    <row r="374" spans="13:13" ht="20.100000000000001" customHeight="1" x14ac:dyDescent="0.2">
      <c r="M374" s="1"/>
    </row>
    <row r="375" spans="13:13" ht="20.100000000000001" customHeight="1" x14ac:dyDescent="0.2">
      <c r="M375" s="1"/>
    </row>
    <row r="376" spans="13:13" ht="20.100000000000001" customHeight="1" x14ac:dyDescent="0.2">
      <c r="M376" s="1"/>
    </row>
    <row r="377" spans="13:13" ht="20.100000000000001" customHeight="1" x14ac:dyDescent="0.2">
      <c r="M377" s="1"/>
    </row>
    <row r="378" spans="13:13" ht="20.100000000000001" customHeight="1" x14ac:dyDescent="0.2">
      <c r="M378" s="1"/>
    </row>
    <row r="379" spans="13:13" ht="20.100000000000001" customHeight="1" x14ac:dyDescent="0.2">
      <c r="M379" s="1"/>
    </row>
    <row r="380" spans="13:13" ht="20.100000000000001" customHeight="1" x14ac:dyDescent="0.2">
      <c r="M380" s="1"/>
    </row>
    <row r="381" spans="13:13" ht="20.100000000000001" customHeight="1" x14ac:dyDescent="0.2">
      <c r="M381" s="1"/>
    </row>
    <row r="382" spans="13:13" ht="20.100000000000001" customHeight="1" x14ac:dyDescent="0.2">
      <c r="M382" s="1"/>
    </row>
    <row r="383" spans="13:13" ht="20.100000000000001" customHeight="1" x14ac:dyDescent="0.2">
      <c r="M383" s="1"/>
    </row>
    <row r="384" spans="13:13" ht="20.100000000000001" customHeight="1" x14ac:dyDescent="0.2">
      <c r="M384" s="1"/>
    </row>
    <row r="385" spans="13:13" ht="20.100000000000001" customHeight="1" x14ac:dyDescent="0.2">
      <c r="M385" s="1"/>
    </row>
    <row r="386" spans="13:13" ht="20.100000000000001" customHeight="1" x14ac:dyDescent="0.2">
      <c r="M386" s="1"/>
    </row>
    <row r="387" spans="13:13" ht="20.100000000000001" customHeight="1" x14ac:dyDescent="0.2">
      <c r="M387" s="1"/>
    </row>
    <row r="388" spans="13:13" ht="20.100000000000001" customHeight="1" x14ac:dyDescent="0.2">
      <c r="M388" s="1"/>
    </row>
    <row r="389" spans="13:13" ht="20.100000000000001" customHeight="1" x14ac:dyDescent="0.2">
      <c r="M389" s="1"/>
    </row>
    <row r="390" spans="13:13" ht="20.100000000000001" customHeight="1" x14ac:dyDescent="0.2">
      <c r="M390" s="1"/>
    </row>
    <row r="391" spans="13:13" ht="20.100000000000001" customHeight="1" x14ac:dyDescent="0.2">
      <c r="M391" s="1"/>
    </row>
    <row r="392" spans="13:13" ht="20.100000000000001" customHeight="1" x14ac:dyDescent="0.2">
      <c r="M392" s="1"/>
    </row>
    <row r="393" spans="13:13" ht="20.100000000000001" customHeight="1" x14ac:dyDescent="0.2">
      <c r="M393" s="1"/>
    </row>
    <row r="394" spans="13:13" ht="20.100000000000001" customHeight="1" x14ac:dyDescent="0.2">
      <c r="M394" s="1"/>
    </row>
    <row r="395" spans="13:13" ht="20.100000000000001" customHeight="1" x14ac:dyDescent="0.2">
      <c r="M395" s="1"/>
    </row>
    <row r="396" spans="13:13" ht="20.100000000000001" customHeight="1" x14ac:dyDescent="0.2">
      <c r="M396" s="1"/>
    </row>
    <row r="397" spans="13:13" ht="20.100000000000001" customHeight="1" x14ac:dyDescent="0.2">
      <c r="M397" s="1"/>
    </row>
    <row r="398" spans="13:13" ht="20.100000000000001" customHeight="1" x14ac:dyDescent="0.2">
      <c r="M398" s="1"/>
    </row>
    <row r="399" spans="13:13" ht="20.100000000000001" customHeight="1" x14ac:dyDescent="0.2">
      <c r="M399" s="1"/>
    </row>
    <row r="400" spans="13:13" ht="20.100000000000001" customHeight="1" x14ac:dyDescent="0.2">
      <c r="M400" s="1"/>
    </row>
    <row r="401" spans="13:13" ht="20.100000000000001" customHeight="1" x14ac:dyDescent="0.2">
      <c r="M401" s="1"/>
    </row>
    <row r="402" spans="13:13" ht="20.100000000000001" customHeight="1" x14ac:dyDescent="0.2">
      <c r="M402" s="1"/>
    </row>
    <row r="403" spans="13:13" ht="20.100000000000001" customHeight="1" x14ac:dyDescent="0.2">
      <c r="M403" s="1"/>
    </row>
    <row r="404" spans="13:13" ht="20.100000000000001" customHeight="1" x14ac:dyDescent="0.2">
      <c r="M404" s="1"/>
    </row>
    <row r="405" spans="13:13" ht="20.100000000000001" customHeight="1" x14ac:dyDescent="0.2">
      <c r="M405" s="1"/>
    </row>
    <row r="406" spans="13:13" ht="20.100000000000001" customHeight="1" x14ac:dyDescent="0.2">
      <c r="M406" s="1"/>
    </row>
    <row r="407" spans="13:13" ht="20.100000000000001" customHeight="1" x14ac:dyDescent="0.2">
      <c r="M407" s="1"/>
    </row>
    <row r="408" spans="13:13" ht="20.100000000000001" customHeight="1" x14ac:dyDescent="0.2">
      <c r="M408" s="1"/>
    </row>
    <row r="409" spans="13:13" ht="20.100000000000001" customHeight="1" x14ac:dyDescent="0.2">
      <c r="M409" s="1"/>
    </row>
    <row r="410" spans="13:13" ht="20.100000000000001" customHeight="1" x14ac:dyDescent="0.2">
      <c r="M410" s="1"/>
    </row>
    <row r="411" spans="13:13" ht="20.100000000000001" customHeight="1" x14ac:dyDescent="0.2">
      <c r="M411" s="1"/>
    </row>
    <row r="412" spans="13:13" ht="20.100000000000001" customHeight="1" x14ac:dyDescent="0.2">
      <c r="M412" s="1"/>
    </row>
    <row r="413" spans="13:13" ht="20.100000000000001" customHeight="1" x14ac:dyDescent="0.2">
      <c r="M413" s="1"/>
    </row>
    <row r="414" spans="13:13" ht="20.100000000000001" customHeight="1" x14ac:dyDescent="0.2">
      <c r="M414" s="1"/>
    </row>
    <row r="415" spans="13:13" ht="20.100000000000001" customHeight="1" x14ac:dyDescent="0.2">
      <c r="M415" s="1"/>
    </row>
    <row r="416" spans="13:13" ht="20.100000000000001" customHeight="1" x14ac:dyDescent="0.2">
      <c r="M416" s="1"/>
    </row>
    <row r="417" spans="13:13" ht="20.100000000000001" customHeight="1" x14ac:dyDescent="0.2">
      <c r="M417" s="1"/>
    </row>
    <row r="418" spans="13:13" ht="20.100000000000001" customHeight="1" x14ac:dyDescent="0.2">
      <c r="M418" s="1"/>
    </row>
    <row r="419" spans="13:13" ht="20.100000000000001" customHeight="1" x14ac:dyDescent="0.2">
      <c r="M419" s="1"/>
    </row>
    <row r="420" spans="13:13" ht="20.100000000000001" customHeight="1" x14ac:dyDescent="0.2">
      <c r="M420" s="1"/>
    </row>
    <row r="421" spans="13:13" ht="20.100000000000001" customHeight="1" x14ac:dyDescent="0.2">
      <c r="M421" s="1"/>
    </row>
    <row r="422" spans="13:13" ht="20.100000000000001" customHeight="1" x14ac:dyDescent="0.2">
      <c r="M422" s="1"/>
    </row>
    <row r="423" spans="13:13" ht="20.100000000000001" customHeight="1" x14ac:dyDescent="0.2">
      <c r="M423" s="1"/>
    </row>
    <row r="424" spans="13:13" ht="20.100000000000001" customHeight="1" x14ac:dyDescent="0.2">
      <c r="M424" s="1"/>
    </row>
    <row r="425" spans="13:13" ht="20.100000000000001" customHeight="1" x14ac:dyDescent="0.2">
      <c r="M425" s="1"/>
    </row>
    <row r="426" spans="13:13" ht="20.100000000000001" customHeight="1" x14ac:dyDescent="0.2">
      <c r="M426" s="1"/>
    </row>
    <row r="427" spans="13:13" ht="20.100000000000001" customHeight="1" x14ac:dyDescent="0.2">
      <c r="M427" s="1"/>
    </row>
    <row r="428" spans="13:13" ht="20.100000000000001" customHeight="1" x14ac:dyDescent="0.2">
      <c r="M428" s="1"/>
    </row>
    <row r="429" spans="13:13" ht="20.100000000000001" customHeight="1" x14ac:dyDescent="0.2">
      <c r="M429" s="1"/>
    </row>
    <row r="430" spans="13:13" ht="20.100000000000001" customHeight="1" x14ac:dyDescent="0.2">
      <c r="M430" s="1"/>
    </row>
    <row r="431" spans="13:13" ht="20.100000000000001" customHeight="1" x14ac:dyDescent="0.2">
      <c r="M431" s="1"/>
    </row>
    <row r="432" spans="13:13" ht="20.100000000000001" customHeight="1" x14ac:dyDescent="0.2">
      <c r="M432" s="1"/>
    </row>
    <row r="433" spans="13:13" ht="20.100000000000001" customHeight="1" x14ac:dyDescent="0.2">
      <c r="M433" s="1"/>
    </row>
    <row r="434" spans="13:13" ht="20.100000000000001" customHeight="1" x14ac:dyDescent="0.2">
      <c r="M434" s="1"/>
    </row>
    <row r="435" spans="13:13" ht="20.100000000000001" customHeight="1" x14ac:dyDescent="0.2">
      <c r="M435" s="1"/>
    </row>
    <row r="436" spans="13:13" ht="20.100000000000001" customHeight="1" x14ac:dyDescent="0.2">
      <c r="M436" s="1"/>
    </row>
    <row r="437" spans="13:13" ht="20.100000000000001" customHeight="1" x14ac:dyDescent="0.2">
      <c r="M437" s="1"/>
    </row>
    <row r="438" spans="13:13" ht="20.100000000000001" customHeight="1" x14ac:dyDescent="0.2">
      <c r="M438" s="1"/>
    </row>
    <row r="439" spans="13:13" ht="20.100000000000001" customHeight="1" x14ac:dyDescent="0.2">
      <c r="M439" s="1"/>
    </row>
    <row r="440" spans="13:13" ht="20.100000000000001" customHeight="1" x14ac:dyDescent="0.2">
      <c r="M440" s="1"/>
    </row>
    <row r="441" spans="13:13" ht="20.100000000000001" customHeight="1" x14ac:dyDescent="0.2">
      <c r="M441" s="1"/>
    </row>
    <row r="442" spans="13:13" ht="20.100000000000001" customHeight="1" x14ac:dyDescent="0.2">
      <c r="M442" s="1"/>
    </row>
    <row r="443" spans="13:13" ht="20.100000000000001" customHeight="1" x14ac:dyDescent="0.2">
      <c r="M443" s="1"/>
    </row>
    <row r="444" spans="13:13" ht="20.100000000000001" customHeight="1" x14ac:dyDescent="0.2">
      <c r="M444" s="1"/>
    </row>
    <row r="445" spans="13:13" ht="20.100000000000001" customHeight="1" x14ac:dyDescent="0.2">
      <c r="M445" s="1"/>
    </row>
    <row r="446" spans="13:13" ht="20.100000000000001" customHeight="1" x14ac:dyDescent="0.2">
      <c r="M446" s="1"/>
    </row>
    <row r="447" spans="13:13" ht="20.100000000000001" customHeight="1" x14ac:dyDescent="0.2">
      <c r="M447" s="1"/>
    </row>
    <row r="448" spans="13:13" ht="20.100000000000001" customHeight="1" x14ac:dyDescent="0.2">
      <c r="M448" s="1"/>
    </row>
    <row r="449" spans="13:13" ht="20.100000000000001" customHeight="1" x14ac:dyDescent="0.2">
      <c r="M449" s="1"/>
    </row>
    <row r="450" spans="13:13" ht="20.100000000000001" customHeight="1" x14ac:dyDescent="0.2">
      <c r="M450" s="1"/>
    </row>
    <row r="451" spans="13:13" ht="20.100000000000001" customHeight="1" x14ac:dyDescent="0.2">
      <c r="M451" s="1"/>
    </row>
    <row r="452" spans="13:13" ht="20.100000000000001" customHeight="1" x14ac:dyDescent="0.2">
      <c r="M452" s="1"/>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0AD59-D376-413F-BFED-BE668C5D3839}">
  <sheetPr>
    <tabColor theme="2" tint="-0.499984740745262"/>
  </sheetPr>
  <dimension ref="A1:M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1189</v>
      </c>
      <c r="D1" s="20"/>
      <c r="E1" s="20"/>
      <c r="F1" s="20"/>
      <c r="G1" s="20"/>
      <c r="H1" s="20"/>
      <c r="I1" s="20"/>
      <c r="J1" s="20"/>
      <c r="K1" s="20"/>
      <c r="L1" s="20"/>
      <c r="M1" s="20"/>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2"/>
      <c r="D3" s="22"/>
      <c r="E3" s="22"/>
      <c r="F3" s="22"/>
      <c r="G3" s="22"/>
      <c r="H3" s="22"/>
      <c r="I3" s="22"/>
      <c r="J3" s="22"/>
      <c r="K3" s="22"/>
      <c r="L3" s="22"/>
      <c r="M3" s="22"/>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tr" cm="1">
        <f t="array" ref="D6">CommonLivestock_SourceData.SourceData_Livestock_Common_SymbolsMMS_Title()</f>
        <v>Table 5.12 Additional symbols used in algorithms for manure related emissions</v>
      </c>
      <c r="E6" s="24"/>
      <c r="F6" s="24"/>
      <c r="G6" s="24"/>
      <c r="H6" s="24"/>
    </row>
    <row r="7" spans="1:13" ht="20.100000000000001" customHeight="1" x14ac:dyDescent="0.2">
      <c r="D7" s="24" t="str" cm="1">
        <f t="array" ref="D7">CommonLivestock_SourceData.SourceData_Livestock_Common_SymbolsMMS_Vairable()</f>
        <v>MMS</v>
      </c>
      <c r="E7" s="24"/>
      <c r="F7" s="24"/>
      <c r="G7" s="24"/>
      <c r="H7" s="24"/>
    </row>
    <row r="8" spans="1:13" ht="20.100000000000001" customHeight="1" x14ac:dyDescent="0.2">
      <c r="A8" s="7" t="s">
        <v>0</v>
      </c>
      <c r="D8" s="17" t="str" cm="1">
        <f t="array" ref="D8">CommonLivestock_SourceData.SourceData_Livestock_Common_SymbolsMMS_Source()</f>
        <v>National Inventory Report 2023 Volume 1: Table 5.12</v>
      </c>
      <c r="E8" s="24"/>
      <c r="F8" s="24"/>
      <c r="G8" s="24"/>
      <c r="H8" s="24"/>
    </row>
    <row r="9" spans="1:13" ht="20.100000000000001" customHeight="1" x14ac:dyDescent="0.2">
      <c r="A9" s="5" t="str">
        <f>HYPERLINK("#'Input - Enterprise'!A1", "Enterprise")</f>
        <v>Enterprise</v>
      </c>
      <c r="D9" s="26" t="s">
        <v>1190</v>
      </c>
      <c r="E9" s="19" t="s">
        <v>1191</v>
      </c>
      <c r="F9" s="19" t="s">
        <v>500</v>
      </c>
      <c r="G9" s="24"/>
    </row>
    <row r="10" spans="1:13" ht="20.100000000000001" customHeight="1" x14ac:dyDescent="0.2">
      <c r="A10" s="5" t="str">
        <f>HYPERLINK("#'Input - Site'!A1", "Site")</f>
        <v>Site</v>
      </c>
      <c r="D10" s="26" t="str" cm="1">
        <f t="array" ref="D10">Common_InputFunctions.Utility_DisplayArrayInTable(CommonLivestock_SourceData.SourceData_Livestock_Common_SymbolsMMS_Data(), Table_Data_MMSSymbols[[#Headers],[Symbol]], 0)</f>
        <v>1</v>
      </c>
      <c r="E10" s="26" t="str" cm="1">
        <f t="array" ref="E10">Common_InputFunctions.Utility_DisplayArrayInTable(CommonLivestock_SourceData.SourceData_Livestock_Common_SymbolsMMS_Data(), Table_Data_MMSSymbols[[#Headers],[Symbol]], 0)</f>
        <v>Anaerobic lagoon</v>
      </c>
      <c r="F10" s="26" t="str" cm="1">
        <f t="array" ref="F10">Common_InputFunctions.Utility_DisplayArrayInTable(CommonLivestock_SourceData.SourceData_Livestock_Common_SymbolsMMS_Data(), Table_Data_MMSSymbols[[#Headers],[Symbol]], 0)</f>
        <v>Anaerobic lagoon (m=1)</v>
      </c>
      <c r="G10" s="24"/>
    </row>
    <row r="11" spans="1:13" ht="20.100000000000001" customHeight="1" x14ac:dyDescent="0.2">
      <c r="A11" s="5" t="str">
        <f>HYPERLINK("#'Input - Poultry'!A1", "Poultry")</f>
        <v>Poultry</v>
      </c>
      <c r="D11" s="26" t="str" cm="1">
        <f t="array" ref="D11">Common_InputFunctions.Utility_DisplayArrayInTable(CommonLivestock_SourceData.SourceData_Livestock_Common_SymbolsMMS_Data(), Table_Data_MMSSymbols[[#Headers],[Symbol]], 0)</f>
        <v>2</v>
      </c>
      <c r="E11" s="26" t="str" cm="1">
        <f t="array" ref="E11">Common_InputFunctions.Utility_DisplayArrayInTable(CommonLivestock_SourceData.SourceData_Livestock_Common_SymbolsMMS_Data(), Table_Data_MMSSymbols[[#Headers],[Symbol]], 0)</f>
        <v>Liquid systems</v>
      </c>
      <c r="F11" s="26" t="str" cm="1">
        <f t="array" ref="F11">Common_InputFunctions.Utility_DisplayArrayInTable(CommonLivestock_SourceData.SourceData_Livestock_Common_SymbolsMMS_Data(), Table_Data_MMSSymbols[[#Headers],[Symbol]], 0)</f>
        <v>Liquid systems (m=2)</v>
      </c>
      <c r="G11" s="24"/>
    </row>
    <row r="12" spans="1:13" ht="20.100000000000001" customHeight="1" x14ac:dyDescent="0.2">
      <c r="A12" s="5" t="str">
        <f>HYPERLINK("#'Input - Livestock sales'!A1", "Livestock sales")</f>
        <v>Livestock sales</v>
      </c>
      <c r="D12" s="19" t="str" cm="1">
        <f t="array" ref="D12">Common_InputFunctions.Utility_DisplayArrayInTable(CommonLivestock_SourceData.SourceData_Livestock_Common_SymbolsMMS_Data(), Table_Data_MMSSymbols[[#Headers],[Symbol]], 0)</f>
        <v>3</v>
      </c>
      <c r="E12" s="19" t="str" cm="1">
        <f t="array" ref="E12">Common_InputFunctions.Utility_DisplayArrayInTable(CommonLivestock_SourceData.SourceData_Livestock_Common_SymbolsMMS_Data(), Table_Data_MMSSymbols[[#Headers],[Symbol]], 0)</f>
        <v>Daily spread</v>
      </c>
      <c r="F12" s="19" t="str" cm="1">
        <f t="array" ref="F12">Common_InputFunctions.Utility_DisplayArrayInTable(CommonLivestock_SourceData.SourceData_Livestock_Common_SymbolsMMS_Data(), Table_Data_MMSSymbols[[#Headers],[Symbol]], 0)</f>
        <v>Daily spread (m=3)</v>
      </c>
      <c r="G12" s="24"/>
    </row>
    <row r="13" spans="1:13" ht="20.100000000000001" customHeight="1" x14ac:dyDescent="0.2">
      <c r="A13" s="5" t="str">
        <f>HYPERLINK("#'Input - Poultry purchases'!A1", "Poultry purchases")</f>
        <v>Poultry purchases</v>
      </c>
      <c r="D13" s="19" t="str" cm="1">
        <f t="array" ref="D13">Common_InputFunctions.Utility_DisplayArrayInTable(CommonLivestock_SourceData.SourceData_Livestock_Common_SymbolsMMS_Data(), Table_Data_MMSSymbols[[#Headers],[Symbol]], 0)</f>
        <v>3a</v>
      </c>
      <c r="E13" s="19" t="str" cm="1">
        <f t="array" ref="E13">Common_InputFunctions.Utility_DisplayArrayInTable(CommonLivestock_SourceData.SourceData_Livestock_Common_SymbolsMMS_Data(), Table_Data_MMSSymbols[[#Headers],[Symbol]], 0)</f>
        <v>Sump and dispersal system</v>
      </c>
      <c r="F13" s="19" t="str" cm="1">
        <f t="array" ref="F13">Common_InputFunctions.Utility_DisplayArrayInTable(CommonLivestock_SourceData.SourceData_Livestock_Common_SymbolsMMS_Data(), Table_Data_MMSSymbols[[#Headers],[Symbol]], 0)</f>
        <v>Sump and dispersal system (m=3a)</v>
      </c>
      <c r="G13" s="24"/>
    </row>
    <row r="14" spans="1:13" ht="20.100000000000001" customHeight="1" x14ac:dyDescent="0.2">
      <c r="A14" s="5" t="str">
        <f>HYPERLINK("#'Input - Fuel'!A1", "Fuel")</f>
        <v>Fuel</v>
      </c>
      <c r="D14" s="19" t="str" cm="1">
        <f t="array" ref="D14">Common_InputFunctions.Utility_DisplayArrayInTable(CommonLivestock_SourceData.SourceData_Livestock_Common_SymbolsMMS_Data(), Table_Data_MMSSymbols[[#Headers],[Symbol]], 0)</f>
        <v>3b</v>
      </c>
      <c r="E14" s="19" t="str" cm="1">
        <f t="array" ref="E14">Common_InputFunctions.Utility_DisplayArrayInTable(CommonLivestock_SourceData.SourceData_Livestock_Common_SymbolsMMS_Data(), Table_Data_MMSSymbols[[#Headers],[Symbol]], 0)</f>
        <v>Drains to paddock</v>
      </c>
      <c r="F14" s="19" t="str" cm="1">
        <f t="array" ref="F14">Common_InputFunctions.Utility_DisplayArrayInTable(CommonLivestock_SourceData.SourceData_Livestock_Common_SymbolsMMS_Data(), Table_Data_MMSSymbols[[#Headers],[Symbol]], 0)</f>
        <v>Drains to paddock (m=3b)</v>
      </c>
      <c r="G14" s="24"/>
    </row>
    <row r="15" spans="1:13" ht="20.100000000000001" customHeight="1" x14ac:dyDescent="0.2">
      <c r="A15" s="5" t="str">
        <f>HYPERLINK("#'Input - Electricity'!A1", "Electricity")</f>
        <v>Electricity</v>
      </c>
      <c r="D15" s="19" t="str" cm="1">
        <f t="array" ref="D15">Common_InputFunctions.Utility_DisplayArrayInTable(CommonLivestock_SourceData.SourceData_Livestock_Common_SymbolsMMS_Data(), Table_Data_MMSSymbols[[#Headers],[Symbol]], 0)</f>
        <v>4</v>
      </c>
      <c r="E15" s="19" t="str" cm="1">
        <f t="array" ref="E15">Common_InputFunctions.Utility_DisplayArrayInTable(CommonLivestock_SourceData.SourceData_Livestock_Common_SymbolsMMS_Data(), Table_Data_MMSSymbols[[#Headers],[Symbol]], 0)</f>
        <v>Solid storage</v>
      </c>
      <c r="F15" s="19" t="str" cm="1">
        <f t="array" ref="F15">Common_InputFunctions.Utility_DisplayArrayInTable(CommonLivestock_SourceData.SourceData_Livestock_Common_SymbolsMMS_Data(), Table_Data_MMSSymbols[[#Headers],[Symbol]], 0)</f>
        <v>Solid storage (m=4)</v>
      </c>
      <c r="G15" s="24"/>
    </row>
    <row r="16" spans="1:13" ht="20.100000000000001" customHeight="1" x14ac:dyDescent="0.2">
      <c r="A16" s="5" t="str">
        <f>HYPERLINK("#'Input - Common farm inputs'!A1", "Common farm inputs")</f>
        <v>Common farm inputs</v>
      </c>
      <c r="D16" s="19" t="str" cm="1">
        <f t="array" ref="D16">Common_InputFunctions.Utility_DisplayArrayInTable(CommonLivestock_SourceData.SourceData_Livestock_Common_SymbolsMMS_Data(), Table_Data_MMSSymbols[[#Headers],[Symbol]], 0)</f>
        <v>5</v>
      </c>
      <c r="E16" s="19" t="str" cm="1">
        <f t="array" ref="E16">Common_InputFunctions.Utility_DisplayArrayInTable(CommonLivestock_SourceData.SourceData_Livestock_Common_SymbolsMMS_Data(), Table_Data_MMSSymbols[[#Headers],[Symbol]], 0)</f>
        <v>Drylot (feed pad)</v>
      </c>
      <c r="F16" s="19" t="str" cm="1">
        <f t="array" ref="F16">Common_InputFunctions.Utility_DisplayArrayInTable(CommonLivestock_SourceData.SourceData_Livestock_Common_SymbolsMMS_Data(), Table_Data_MMSSymbols[[#Headers],[Symbol]], 0)</f>
        <v>Drylot (feed pad) (m=5)</v>
      </c>
      <c r="G16" s="24"/>
    </row>
    <row r="17" spans="1:8" ht="20.100000000000001" customHeight="1" x14ac:dyDescent="0.2">
      <c r="A17" s="5" t="str">
        <f>HYPERLINK("#'Input - Livestock farm Inputs'!A1", "Livestock farm Inputs")</f>
        <v>Livestock farm Inputs</v>
      </c>
      <c r="D17" s="19" t="str" cm="1">
        <f t="array" ref="D17">Common_InputFunctions.Utility_DisplayArrayInTable(CommonLivestock_SourceData.SourceData_Livestock_Common_SymbolsMMS_Data(), Table_Data_MMSSymbols[[#Headers],[Symbol]], 0)</f>
        <v>6</v>
      </c>
      <c r="E17" s="19" t="str" cm="1">
        <f t="array" ref="E17">Common_InputFunctions.Utility_DisplayArrayInTable(CommonLivestock_SourceData.SourceData_Livestock_Common_SymbolsMMS_Data(), Table_Data_MMSSymbols[[#Headers],[Symbol]], 0)</f>
        <v>Composting (passive windrow)</v>
      </c>
      <c r="F17" s="19" t="str" cm="1">
        <f t="array" ref="F17">Common_InputFunctions.Utility_DisplayArrayInTable(CommonLivestock_SourceData.SourceData_Livestock_Common_SymbolsMMS_Data(), Table_Data_MMSSymbols[[#Headers],[Symbol]], 0)</f>
        <v>Composting (passive windrow) (m=6)</v>
      </c>
      <c r="G17" s="24"/>
    </row>
    <row r="18" spans="1:8" ht="20.100000000000001" customHeight="1" x14ac:dyDescent="0.2">
      <c r="A18" s="5" t="str">
        <f>HYPERLINK("#'Input - Freight'!A1", "Freight")</f>
        <v>Freight</v>
      </c>
      <c r="D18" s="19" t="str" cm="1">
        <f t="array" ref="D18">Common_InputFunctions.Utility_DisplayArrayInTable(CommonLivestock_SourceData.SourceData_Livestock_Common_SymbolsMMS_Data(), Table_Data_MMSSymbols[[#Headers],[Symbol]], 0)</f>
        <v>7</v>
      </c>
      <c r="E18" s="19" t="str" cm="1">
        <f t="array" ref="E18">Common_InputFunctions.Utility_DisplayArrayInTable(CommonLivestock_SourceData.SourceData_Livestock_Common_SymbolsMMS_Data(), Table_Data_MMSSymbols[[#Headers],[Symbol]], 0)</f>
        <v>Digester / covered lagoons</v>
      </c>
      <c r="F18" s="19" t="str" cm="1">
        <f t="array" ref="F18">Common_InputFunctions.Utility_DisplayArrayInTable(CommonLivestock_SourceData.SourceData_Livestock_Common_SymbolsMMS_Data(), Table_Data_MMSSymbols[[#Headers],[Symbol]], 0)</f>
        <v>Digester / covered lagoons (m=7)</v>
      </c>
      <c r="G18" s="24"/>
    </row>
    <row r="19" spans="1:8" ht="20.100000000000001" customHeight="1" x14ac:dyDescent="0.2">
      <c r="A19" s="5" t="str">
        <f>HYPERLINK("#'Input - Solid waste'!A1", "Solid waste")</f>
        <v>Solid waste</v>
      </c>
      <c r="D19" s="19" t="str" cm="1">
        <f t="array" ref="D19">Common_InputFunctions.Utility_DisplayArrayInTable(CommonLivestock_SourceData.SourceData_Livestock_Common_SymbolsMMS_Data(), Table_Data_MMSSymbols[[#Headers],[Symbol]], 0)</f>
        <v>8</v>
      </c>
      <c r="E19" s="19" t="str" cm="1">
        <f t="array" ref="E19">Common_InputFunctions.Utility_DisplayArrayInTable(CommonLivestock_SourceData.SourceData_Livestock_Common_SymbolsMMS_Data(), Table_Data_MMSSymbols[[#Headers],[Symbol]], 0)</f>
        <v>Deep litter</v>
      </c>
      <c r="F19" s="19" t="str" cm="1">
        <f t="array" ref="F19">Common_InputFunctions.Utility_DisplayArrayInTable(CommonLivestock_SourceData.SourceData_Livestock_Common_SymbolsMMS_Data(), Table_Data_MMSSymbols[[#Headers],[Symbol]], 0)</f>
        <v>Deep litter (m=8)</v>
      </c>
      <c r="G19" s="24"/>
    </row>
    <row r="20" spans="1:8" ht="20.100000000000001" customHeight="1" x14ac:dyDescent="0.2">
      <c r="A20" s="5" t="str">
        <f>HYPERLINK("#'Input - Manure sent off-site'!A1", "Manure sent off-site")</f>
        <v>Manure sent off-site</v>
      </c>
      <c r="D20" s="19" t="str" cm="1">
        <f t="array" ref="D20">Common_InputFunctions.Utility_DisplayArrayInTable(CommonLivestock_SourceData.SourceData_Livestock_Common_SymbolsMMS_Data(), Table_Data_MMSSymbols[[#Headers],[Symbol]], 0)</f>
        <v>9</v>
      </c>
      <c r="E20" s="19" t="str" cm="1">
        <f t="array" ref="E20">Common_InputFunctions.Utility_DisplayArrayInTable(CommonLivestock_SourceData.SourceData_Livestock_Common_SymbolsMMS_Data(), Table_Data_MMSSymbols[[#Headers],[Symbol]], 0)</f>
        <v>Pit storage</v>
      </c>
      <c r="F20" s="19" t="str" cm="1">
        <f t="array" ref="F20">Common_InputFunctions.Utility_DisplayArrayInTable(CommonLivestock_SourceData.SourceData_Livestock_Common_SymbolsMMS_Data(), Table_Data_MMSSymbols[[#Headers],[Symbol]], 0)</f>
        <v>Pit storage (m=9)</v>
      </c>
      <c r="G20" s="24"/>
    </row>
    <row r="21" spans="1:8" ht="20.100000000000001" customHeight="1" x14ac:dyDescent="0.2">
      <c r="A21" s="5" t="str">
        <f>HYPERLINK("#'Input - Data quality'!A1", "Data quality")</f>
        <v>Data quality</v>
      </c>
      <c r="D21" s="19" t="str" cm="1">
        <f t="array" ref="D21">Common_InputFunctions.Utility_DisplayArrayInTable(CommonLivestock_SourceData.SourceData_Livestock_Common_SymbolsMMS_Data(), Table_Data_MMSSymbols[[#Headers],[Symbol]], 0)</f>
        <v>10</v>
      </c>
      <c r="E21" s="19" t="str" cm="1">
        <f t="array" ref="E21">Common_InputFunctions.Utility_DisplayArrayInTable(CommonLivestock_SourceData.SourceData_Livestock_Common_SymbolsMMS_Data(), Table_Data_MMSSymbols[[#Headers],[Symbol]], 0)</f>
        <v>Poultry manure with bedding</v>
      </c>
      <c r="F21" s="19" t="str" cm="1">
        <f t="array" ref="F21">Common_InputFunctions.Utility_DisplayArrayInTable(CommonLivestock_SourceData.SourceData_Livestock_Common_SymbolsMMS_Data(), Table_Data_MMSSymbols[[#Headers],[Symbol]], 0)</f>
        <v>Poultry manure with bedding (m=10)</v>
      </c>
      <c r="G21" s="24"/>
    </row>
    <row r="22" spans="1:8" ht="20.100000000000001" customHeight="1" x14ac:dyDescent="0.2">
      <c r="A22" s="5" t="str">
        <f>HYPERLINK("#'Input - Fert Prod System'!A1", "Fert Prod System")</f>
        <v>Fert Prod System</v>
      </c>
      <c r="D22" s="19" t="str" cm="1">
        <f t="array" ref="D22">Common_InputFunctions.Utility_DisplayArrayInTable(CommonLivestock_SourceData.SourceData_Livestock_Common_SymbolsMMS_Data(), Table_Data_MMSSymbols[[#Headers],[Symbol]], 0)</f>
        <v>11</v>
      </c>
      <c r="E22" s="19" t="str" cm="1">
        <f t="array" ref="E22">Common_InputFunctions.Utility_DisplayArrayInTable(CommonLivestock_SourceData.SourceData_Livestock_Common_SymbolsMMS_Data(), Table_Data_MMSSymbols[[#Headers],[Symbol]], 0)</f>
        <v>Poultry manure without bedding</v>
      </c>
      <c r="F22" s="19" t="str" cm="1">
        <f t="array" ref="F22">Common_InputFunctions.Utility_DisplayArrayInTable(CommonLivestock_SourceData.SourceData_Livestock_Common_SymbolsMMS_Data(), Table_Data_MMSSymbols[[#Headers],[Symbol]], 0)</f>
        <v>Poultry manure without bedding (m=11)</v>
      </c>
      <c r="G22" s="24"/>
    </row>
    <row r="23" spans="1:8" ht="20.100000000000001" customHeight="1" x14ac:dyDescent="0.2">
      <c r="A23" s="5" t="str">
        <f>HYPERLINK("#'Input - Fertiliser'!A1", "Fertiliser")</f>
        <v>Fertiliser</v>
      </c>
      <c r="D23" s="19" t="str" cm="1">
        <f t="array" ref="D23">Common_InputFunctions.Utility_DisplayArrayInTable(CommonLivestock_SourceData.SourceData_Livestock_Common_SymbolsMMS_Data(), Table_Data_MMSSymbols[[#Headers],[Symbol]], 0)</f>
        <v>11a</v>
      </c>
      <c r="E23" s="19" t="str" cm="1">
        <f t="array" ref="E23">Common_InputFunctions.Utility_DisplayArrayInTable(CommonLivestock_SourceData.SourceData_Livestock_Common_SymbolsMMS_Data(), Table_Data_MMSSymbols[[#Headers],[Symbol]], 0)</f>
        <v>Belt manure removal</v>
      </c>
      <c r="F23" s="19" t="str" cm="1">
        <f t="array" ref="F23">Common_InputFunctions.Utility_DisplayArrayInTable(CommonLivestock_SourceData.SourceData_Livestock_Common_SymbolsMMS_Data(), Table_Data_MMSSymbols[[#Headers],[Symbol]], 0)</f>
        <v>Belt manure removal (m=11a)</v>
      </c>
      <c r="G23" s="24"/>
    </row>
    <row r="24" spans="1:8" ht="20.100000000000001" customHeight="1" x14ac:dyDescent="0.2">
      <c r="D24" s="19" t="str" cm="1">
        <f t="array" ref="D24">Common_InputFunctions.Utility_DisplayArrayInTable(CommonLivestock_SourceData.SourceData_Livestock_Common_SymbolsMMS_Data(), Table_Data_MMSSymbols[[#Headers],[Symbol]], 0)</f>
        <v>11b</v>
      </c>
      <c r="E24" s="19" t="str" cm="1">
        <f t="array" ref="E24">Common_InputFunctions.Utility_DisplayArrayInTable(CommonLivestock_SourceData.SourceData_Livestock_Common_SymbolsMMS_Data(), Table_Data_MMSSymbols[[#Headers],[Symbol]], 0)</f>
        <v>Manure stored in house</v>
      </c>
      <c r="F24" s="19" t="str" cm="1">
        <f t="array" ref="F24">Common_InputFunctions.Utility_DisplayArrayInTable(CommonLivestock_SourceData.SourceData_Livestock_Common_SymbolsMMS_Data(), Table_Data_MMSSymbols[[#Headers],[Symbol]], 0)</f>
        <v>Manure stored in house (m=11b)</v>
      </c>
      <c r="G24" s="24"/>
    </row>
    <row r="25" spans="1:8" ht="20.100000000000001" customHeight="1" x14ac:dyDescent="0.2">
      <c r="D25" s="19" t="str" cm="1">
        <f t="array" ref="D25">Common_InputFunctions.Utility_DisplayArrayInTable(CommonLivestock_SourceData.SourceData_Livestock_Common_SymbolsMMS_Data(), Table_Data_MMSSymbols[[#Headers],[Symbol]], 0)</f>
        <v>12</v>
      </c>
      <c r="E25" s="19" t="str" cm="1">
        <f t="array" ref="E25">Common_InputFunctions.Utility_DisplayArrayInTable(CommonLivestock_SourceData.SourceData_Livestock_Common_SymbolsMMS_Data(), Table_Data_MMSSymbols[[#Headers],[Symbol]], 0)</f>
        <v>Direct processing</v>
      </c>
      <c r="F25" s="19" t="str" cm="1">
        <f t="array" ref="F25">Common_InputFunctions.Utility_DisplayArrayInTable(CommonLivestock_SourceData.SourceData_Livestock_Common_SymbolsMMS_Data(), Table_Data_MMSSymbols[[#Headers],[Symbol]], 0)</f>
        <v>Direct processing (m=12)</v>
      </c>
      <c r="G25" s="24"/>
    </row>
    <row r="26" spans="1:8" ht="20.100000000000001" customHeight="1" x14ac:dyDescent="0.2">
      <c r="A26" s="6" t="s">
        <v>2</v>
      </c>
      <c r="D26" s="19" t="str" cm="1">
        <f t="array" ref="D26">Common_InputFunctions.Utility_DisplayArrayInTable(CommonLivestock_SourceData.SourceData_Livestock_Common_SymbolsMMS_Data(), Table_Data_MMSSymbols[[#Headers],[Symbol]], 0)</f>
        <v>13</v>
      </c>
      <c r="E26" s="19" t="str" cm="1">
        <f t="array" ref="E26">Common_InputFunctions.Utility_DisplayArrayInTable(CommonLivestock_SourceData.SourceData_Livestock_Common_SymbolsMMS_Data(), Table_Data_MMSSymbols[[#Headers],[Symbol]], 0)</f>
        <v>Direct application</v>
      </c>
      <c r="F26" s="19" t="str" cm="1">
        <f t="array" ref="F26">Common_InputFunctions.Utility_DisplayArrayInTable(CommonLivestock_SourceData.SourceData_Livestock_Common_SymbolsMMS_Data(), Table_Data_MMSSymbols[[#Headers],[Symbol]], 0)</f>
        <v>Direct application (m=13)</v>
      </c>
      <c r="G26" s="24"/>
    </row>
    <row r="27" spans="1:8" ht="20.100000000000001" customHeight="1" x14ac:dyDescent="0.2">
      <c r="A27" s="5" t="str">
        <f>HYPERLINK("#'4.6.1.1-2 Methane'!A1", "4.6.1.1-2 Manure Methane")</f>
        <v>4.6.1.1-2 Manure Methane</v>
      </c>
      <c r="D27" s="19" t="str" cm="1">
        <f t="array" ref="D27">Common_InputFunctions.Utility_DisplayArrayInTable(CommonLivestock_SourceData.SourceData_Livestock_Common_SymbolsMMS_Data(), Table_Data_MMSSymbols[[#Headers],[Symbol]], 0)</f>
        <v>14</v>
      </c>
      <c r="E27" s="19" t="str" cm="1">
        <f t="array" ref="E27">Common_InputFunctions.Utility_DisplayArrayInTable(CommonLivestock_SourceData.SourceData_Livestock_Common_SymbolsMMS_Data(), Table_Data_MMSSymbols[[#Headers],[Symbol]], 0)</f>
        <v>Pasture range and paddock</v>
      </c>
      <c r="F27" s="19" t="str" cm="1">
        <f t="array" ref="F27">Common_InputFunctions.Utility_DisplayArrayInTable(CommonLivestock_SourceData.SourceData_Livestock_Common_SymbolsMMS_Data(), Table_Data_MMSSymbols[[#Headers],[Symbol]], 0)</f>
        <v>Pasture range and paddock (m=14)</v>
      </c>
      <c r="G27" s="24"/>
    </row>
    <row r="28" spans="1:8" ht="20.100000000000001" customHeight="1" x14ac:dyDescent="0.2">
      <c r="A28" s="5" t="str">
        <f>HYPERLINK("#'4.6.1.3-4 Direct N20'!A1", "4.6.1.3-4 Manure Direct N2O")</f>
        <v>4.6.1.3-4 Manure Direct N2O</v>
      </c>
      <c r="G28" s="24"/>
      <c r="H28" s="24"/>
    </row>
    <row r="29" spans="1:8" ht="20.100000000000001" customHeight="1" x14ac:dyDescent="0.2">
      <c r="A29" s="5" t="str">
        <f>HYPERLINK("#'4.6.1.5-6 Atmos Dep'!A1", "4.6.1.5-6 Manure Atmos Dep")</f>
        <v>4.6.1.5-6 Manure Atmos Dep</v>
      </c>
    </row>
    <row r="30" spans="1:8" ht="20.100000000000001" customHeight="1" x14ac:dyDescent="0.2">
      <c r="A30" s="5" t="str">
        <f>HYPERLINK("#'4.6.1.7-8 Leaching and runoff'!A1", "4.6.1.7-8 Manure Leaching and runoff")</f>
        <v>4.6.1.7-8 Manure Leaching and runoff</v>
      </c>
    </row>
    <row r="31" spans="1:8" ht="20.100000000000001" customHeight="1" x14ac:dyDescent="0.2">
      <c r="A31" s="5" t="str">
        <f>HYPERLINK("#'4.6.1.9 Manure applied to soils'!A1", "4.6.1.9 Manure applied to soils")</f>
        <v>4.6.1.9 Manure applied to soils</v>
      </c>
    </row>
    <row r="32" spans="1:8"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81"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31B40-AA95-4418-9571-8473EF3A4662}">
  <sheetPr>
    <tabColor theme="2" tint="-0.499984740745262"/>
  </sheetPr>
  <dimension ref="A1:AI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576</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
      <c r="D6" s="17" t="str" cm="1">
        <f t="array" ref="D6">Electricity_SourceData.Electricity_Scope2Scope3LocationBased_Source()</f>
        <v>Australian National Greenhouse Accounts Factors 2025 - Table 1</v>
      </c>
      <c r="E6" s="8"/>
      <c r="F6" s="8"/>
    </row>
    <row r="7" spans="1:35" ht="20.100000000000001" customHeight="1" x14ac:dyDescent="0.2">
      <c r="D7" s="25"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47" t="s">
        <v>577</v>
      </c>
      <c r="E9" s="147" t="s">
        <v>578</v>
      </c>
      <c r="F9" s="147" t="s">
        <v>579</v>
      </c>
    </row>
    <row r="10" spans="1:35" ht="20.100000000000001" customHeight="1" x14ac:dyDescent="0.2">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
      <c r="A11" s="5" t="str">
        <f>HYPERLINK("#'Input - Poultry'!A1", "Poultry")</f>
        <v>Poultry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
      <c r="A13" s="5" t="str">
        <f>HYPERLINK("#'Input - Poultry purchases'!A1", "Poultry purchases")</f>
        <v>Poultry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
      <c r="A16" s="5" t="str">
        <f>HYPERLINK("#'Input - Common farm inputs'!A1", "Common farm inputs")</f>
        <v>Common farm inputs</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
      <c r="A17" s="5" t="str">
        <f>HYPERLINK("#'Input - Livestock farm Inputs'!A1", "Livestock farm Inputs")</f>
        <v>Livestock farm Inputs</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
      <c r="A18" s="5" t="str">
        <f>HYPERLINK("#'Input - Freight'!A1", "Freight")</f>
        <v>Freight</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
      <c r="A19" s="5" t="str">
        <f>HYPERLINK("#'Input - Solid waste'!A1", "Solid waste")</f>
        <v>Solid waste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c r="D21" s="2" t="str" cm="1">
        <f t="array" ref="D21">Electricity_SourceData.Electricity_Scope2Scope3MarketBased_Title()</f>
        <v>Electricity scope 2 and scope 3 market-based emission factors</v>
      </c>
    </row>
    <row r="22" spans="1:8" ht="20.100000000000001" customHeight="1" x14ac:dyDescent="0.2">
      <c r="A22" s="5" t="str">
        <f>HYPERLINK("#'Input - Fert Prod System'!A1", "Fert Prod System")</f>
        <v>Fert Prod System</v>
      </c>
      <c r="D22" s="17" t="str" cm="1">
        <f t="array" ref="D22">Electricity_SourceData.Electricity_Scope2Scope3MarketBased_Source()</f>
        <v>Australian National Greenhouse Accounts Factors 2025 - Table 2a</v>
      </c>
    </row>
    <row r="23" spans="1:8" ht="20.100000000000001" customHeight="1" x14ac:dyDescent="0.2">
      <c r="A23" s="5" t="str">
        <f>HYPERLINK("#'Input - Fertiliser'!A1", "Fertiliser")</f>
        <v>Fertiliser</v>
      </c>
    </row>
    <row r="24" spans="1:8" ht="20.100000000000001" customHeight="1" x14ac:dyDescent="0.2">
      <c r="D24" s="148" t="s">
        <v>577</v>
      </c>
      <c r="E24" s="148" t="s">
        <v>580</v>
      </c>
      <c r="F24" s="148" t="s">
        <v>581</v>
      </c>
      <c r="G24" s="148" t="s">
        <v>582</v>
      </c>
      <c r="H24" s="148" t="s">
        <v>583</v>
      </c>
    </row>
    <row r="25" spans="1:8" ht="20.100000000000001" customHeight="1" x14ac:dyDescent="0.2">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
      <c r="A26" s="6" t="s">
        <v>2</v>
      </c>
    </row>
    <row r="27" spans="1:8" ht="20.100000000000001" customHeight="1" x14ac:dyDescent="0.2">
      <c r="A27" s="5" t="str">
        <f>HYPERLINK("#'4.6.1.1-2 Methane'!A1", "4.6.1.1-2 Manure Methane")</f>
        <v>4.6.1.1-2 Manure Methane</v>
      </c>
    </row>
    <row r="28" spans="1:8" ht="20.100000000000001" customHeight="1" x14ac:dyDescent="0.2">
      <c r="A28" s="5" t="str">
        <f>HYPERLINK("#'4.6.1.3-4 Direct N20'!A1", "4.6.1.3-4 Manure Direct N2O")</f>
        <v>4.6.1.3-4 Manure Direct N2O</v>
      </c>
    </row>
    <row r="29" spans="1:8" ht="20.100000000000001" customHeight="1" x14ac:dyDescent="0.2">
      <c r="A29" s="5" t="str">
        <f>HYPERLINK("#'4.6.1.5-6 Atmos Dep'!A1", "4.6.1.5-6 Manure Atmos Dep")</f>
        <v>4.6.1.5-6 Manure Atmos Dep</v>
      </c>
    </row>
    <row r="30" spans="1:8" ht="20.100000000000001" customHeight="1" x14ac:dyDescent="0.2">
      <c r="A30" s="5" t="str">
        <f>HYPERLINK("#'4.6.1.7-8 Leaching and runoff'!A1", "4.6.1.7-8 Manure Leaching and runoff")</f>
        <v>4.6.1.7-8 Manure Leaching and runoff</v>
      </c>
    </row>
    <row r="31" spans="1:8" ht="20.100000000000001" customHeight="1" x14ac:dyDescent="0.2">
      <c r="A31" s="5" t="str">
        <f>HYPERLINK("#'4.6.1.9 Manure applied to soils'!A1", "4.6.1.9 Manure applied to soils")</f>
        <v>4.6.1.9 Manure applied to soils</v>
      </c>
    </row>
    <row r="32" spans="1:8"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81"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02CD2-6E60-4596-9737-97EEC0FE103D}">
  <dimension ref="A1:AM223"/>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845</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tr" cm="1">
        <f t="array" ref="D5">Fertiliser_SourceData.Fertiliser_ChemicalCompoundElements_Title()</f>
        <v>Common inorganic fertilisers</v>
      </c>
      <c r="E5" s="154"/>
      <c r="F5" s="154"/>
      <c r="G5" s="154"/>
      <c r="H5" s="154"/>
      <c r="I5" s="154"/>
      <c r="J5" s="154"/>
    </row>
    <row r="6" spans="1:36" ht="20.100000000000001" customHeight="1" x14ac:dyDescent="0.2">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
      <c r="D7" s="25" t="str" cm="1">
        <f t="array" ref="D7:D18">Fertiliser_SourceData.Fertiliser_ChemicalCompoundElements_Variation()</f>
        <v>VARIATION ON SOURCE</v>
      </c>
    </row>
    <row r="8" spans="1:36" ht="20.100000000000001" customHeight="1" x14ac:dyDescent="0.2">
      <c r="A8" s="7" t="s">
        <v>0</v>
      </c>
      <c r="D8" s="25" t="str">
        <v>Added 'Basis' column to allow cross-referencing with table Table A.2.2.6: Fraction of inorganic fertiliser f that volatilises as NH3 and NOx ((kg NH3-N + NOx-N)/kg N) (FracGASFf)</v>
      </c>
    </row>
    <row r="9" spans="1:36" ht="20.100000000000001" customHeight="1" x14ac:dyDescent="0.2">
      <c r="A9" s="5" t="str">
        <f>HYPERLINK("#'Input - Enterprise'!A1", "Enterprise")</f>
        <v>Enterprise</v>
      </c>
      <c r="D9" s="25" t="str">
        <v>Added extra fertiliser types and generic chemical compounds to allow for custom NPKS blends</v>
      </c>
    </row>
    <row r="10" spans="1:36" ht="20.100000000000001" customHeight="1" x14ac:dyDescent="0.2">
      <c r="A10" s="5" t="str">
        <f>HYPERLINK("#'Input - Site'!A1", "Site")</f>
        <v>Site</v>
      </c>
      <c r="D10" s="25" t="str">
        <v>Added extra 'Scope 3 definition' column to allow mapping with scope 3 data</v>
      </c>
    </row>
    <row r="11" spans="1:36" ht="20.100000000000001" customHeight="1" x14ac:dyDescent="0.2">
      <c r="A11" s="5" t="str">
        <f>HYPERLINK("#'Input - Poultry'!A1", "Poultry")</f>
        <v>Poultry</v>
      </c>
      <c r="D11" s="25" t="str">
        <v>Added 'Source' column</v>
      </c>
    </row>
    <row r="12" spans="1:36" ht="20.100000000000001" customHeight="1" x14ac:dyDescent="0.2">
      <c r="A12" s="5" t="str">
        <f>HYPERLINK("#'Input - Livestock sales'!A1", "Livestock sales")</f>
        <v>Livestock sales</v>
      </c>
      <c r="D12" s="25" t="str">
        <v>Combined data from Table A.2.2.3 and Table A.2.2.4 into one table to aid lookup.</v>
      </c>
    </row>
    <row r="13" spans="1:36" ht="20.100000000000001" customHeight="1" x14ac:dyDescent="0.2">
      <c r="A13" s="5" t="str">
        <f>HYPERLINK("#'Input - Poultry purchases'!A1", "Poultry purchases")</f>
        <v>Poultry purchases</v>
      </c>
      <c r="D13" s="25" t="str">
        <v>Excluded 'References' column</v>
      </c>
    </row>
    <row r="14" spans="1:36" ht="20.100000000000001" customHeight="1" x14ac:dyDescent="0.2">
      <c r="A14" s="5" t="str">
        <f>HYPERLINK("#'Input - Fuel'!A1", "Fuel")</f>
        <v>Fuel</v>
      </c>
      <c r="D14" s="25" t="str">
        <v>Excluded 'Ammonium sulfate' as it is a duplicate of 'Sulphate of ammonia (SOA)'</v>
      </c>
    </row>
    <row r="15" spans="1:36" ht="20.100000000000001" customHeight="1" x14ac:dyDescent="0.2">
      <c r="A15" s="5" t="str">
        <f>HYPERLINK("#'Input - Electricity'!A1", "Electricity")</f>
        <v>Electricity</v>
      </c>
      <c r="D15" s="25" t="str">
        <v>Excluded 'Calcium nitrate' as no scope 3 value available.</v>
      </c>
    </row>
    <row r="16" spans="1:36" ht="20.100000000000001" customHeight="1" x14ac:dyDescent="0.2">
      <c r="A16" s="5" t="str">
        <f>HYPERLINK("#'Input - Common farm inputs'!A1", "Common farm inputs")</f>
        <v>Common farm inputs</v>
      </c>
      <c r="D16" s="25" t="str">
        <v>Set 'Nitrogen - Generic' basis as 'Urea-based fertilisers, as urea is the most commonly used form of nitrogen in Australian fertilisers</v>
      </c>
    </row>
    <row r="17" spans="1:22" ht="20.100000000000001" customHeight="1" x14ac:dyDescent="0.2">
      <c r="A17" s="5" t="str">
        <f>HYPERLINK("#'Input - Livestock farm Inputs'!A1", "Livestock farm Inputs")</f>
        <v>Livestock farm Inputs</v>
      </c>
      <c r="D17" s="25"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
      <c r="A18" s="5" t="str">
        <f>HYPERLINK("#'Input - Freight'!A1", "Freight")</f>
        <v>Freight</v>
      </c>
      <c r="D18" s="25"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
      <c r="A19" s="5" t="str">
        <f>HYPERLINK("#'Input - Solid waste'!A1", "Solid waste")</f>
        <v>Solid waste</v>
      </c>
      <c r="D19" t="s">
        <v>766</v>
      </c>
      <c r="E19" t="s">
        <v>846</v>
      </c>
      <c r="F19" t="s">
        <v>847</v>
      </c>
      <c r="G19" t="s">
        <v>821</v>
      </c>
      <c r="H19" t="s">
        <v>848</v>
      </c>
      <c r="I19" t="s">
        <v>570</v>
      </c>
      <c r="K19" s="19" t="s">
        <v>766</v>
      </c>
      <c r="L19" s="19" t="s">
        <v>846</v>
      </c>
      <c r="Q19" s="19" t="s">
        <v>766</v>
      </c>
      <c r="R19" s="19" t="s">
        <v>846</v>
      </c>
      <c r="V19" s="19" t="s">
        <v>570</v>
      </c>
    </row>
    <row r="20" spans="1:22" ht="20.100000000000001" customHeight="1" x14ac:dyDescent="0.2">
      <c r="A20" s="5" t="str">
        <f>HYPERLINK("#'Input - Manure sent off-site'!A1", "Manure sent off-site")</f>
        <v>Manure sent off-site</v>
      </c>
      <c r="D20" s="148" t="str" cm="1">
        <f t="array" ref="D20">Common_InputFunctions.Utility_DisplayArrayInTable(Fertiliser_SourceData.Fertiliser_ChemicalCompoundElements_Data(),Table_Fertiliser_ChemicalCompounds[[#Headers],[Fertiliser type f]], 0)</f>
        <v>Monoammonium phosphate (MAP)</v>
      </c>
      <c r="E20" s="148" cm="1">
        <f t="array" ref="E20">Common_InputFunctions.Utility_DisplayArrayInTable(Fertiliser_SourceData.Fertiliser_ChemicalCompoundElements_Data(),Table_Fertiliser_ChemicalCompounds[[#Headers],[Fertiliser type f]], 0)</f>
        <v>0.1</v>
      </c>
      <c r="F20" s="148" cm="1">
        <f t="array" ref="F20">Common_InputFunctions.Utility_DisplayArrayInTable(Fertiliser_SourceData.Fertiliser_ChemicalCompoundElements_Data(),Table_Fertiliser_ChemicalCompounds[[#Headers],[Fertiliser type f]], 0)</f>
        <v>0</v>
      </c>
      <c r="G20" s="148" t="str" cm="1">
        <f t="array" ref="G20">Common_InputFunctions.Utility_DisplayArrayInTable(Fertiliser_SourceData.Fertiliser_ChemicalCompoundElements_Data(),Table_Fertiliser_ChemicalCompounds[[#Headers],[Fertiliser type f]], 0)</f>
        <v>Ammonium-based fertilisers</v>
      </c>
      <c r="H20" s="148" t="str" cm="1">
        <f t="array" ref="H20">Common_InputFunctions.Utility_DisplayArrayInTable(Fertiliser_SourceData.Fertiliser_ChemicalCompoundElements_Data(),Table_Fertiliser_ChemicalCompounds[[#Headers],[Fertiliser type f]], 0)</f>
        <v>Monoammonium phosphate (MAP)</v>
      </c>
      <c r="I20" s="148" t="str" cm="1">
        <f t="array" ref="I20">Common_InputFunctions.Utility_DisplayArrayInTable(Fertiliser_SourceData.Fertiliser_ChemicalCompoundElements_Data(),Table_Fertiliser_ChemicalCompounds[[#Headers],[Fertiliser type f]], 0)</f>
        <v>VEERG</v>
      </c>
      <c r="K20" s="19" t="str" cm="1">
        <f t="array" ref="K20">Common_InputFunctions.Utility_DisplayArrayInTable(Fertiliser_SourceData.Fertiliser_FractionNCommonFertilisers_Data(), Table2[[#Headers],[Fertiliser type f]], 0)</f>
        <v>Monoammonium phosphate (MAP)</v>
      </c>
      <c r="L20" s="19" cm="1">
        <f t="array" ref="L20">Common_InputFunctions.Utility_DisplayArrayInTable(Fertiliser_SourceData.Fertiliser_FractionNCommonFertilisers_Data(), Table2[[#Headers],[Fertiliser type f]], 0)</f>
        <v>0.1</v>
      </c>
      <c r="Q20" s="19" t="str" cm="1">
        <f t="array" ref="Q20">Common_InputFunctions.Utility_DisplayArrayInTable(Fertiliser_SourceData.Fertiliser_FractionUreaCommonFertilisers_Data(), Table28[[#Headers],[Fertiliser type f]], 0)</f>
        <v>Monoammonium phosphate (MAP)</v>
      </c>
      <c r="R20" s="19" cm="1">
        <f t="array" ref="R20">Common_InputFunctions.Utility_DisplayArrayInTable(Fertiliser_SourceData.Fertiliser_FractionUreaCommonFertilisers_Data(), Table28[[#Headers],[Fertiliser type f]], 0)</f>
        <v>0</v>
      </c>
      <c r="V20" s="19" t="str" cm="1">
        <f t="array" ref="V20">Common_InputFunctions.Utility_DisplayArrayInTable(Fertiliser_SourceData.Fertiliser_UreaAmmoniaSourceRegions_Data(),Table_SourceData_Fertiliser_UreaAmmoniaSources[[#Headers],[Source]],0)</f>
        <v>Global</v>
      </c>
    </row>
    <row r="21" spans="1:22" ht="20.100000000000001" customHeight="1" x14ac:dyDescent="0.2">
      <c r="A21" s="5" t="str">
        <f>HYPERLINK("#'Input - Data quality'!A1", "Data quality")</f>
        <v>Data quality</v>
      </c>
      <c r="D21" s="148" t="str" cm="1">
        <f t="array" ref="D21">Common_InputFunctions.Utility_DisplayArrayInTable(Fertiliser_SourceData.Fertiliser_ChemicalCompoundElements_Data(),Table_Fertiliser_ChemicalCompounds[[#Headers],[Fertiliser type f]], 0)</f>
        <v>Diammonium phosphate (DAP)</v>
      </c>
      <c r="E21" s="148" cm="1">
        <f t="array" ref="E21">Common_InputFunctions.Utility_DisplayArrayInTable(Fertiliser_SourceData.Fertiliser_ChemicalCompoundElements_Data(),Table_Fertiliser_ChemicalCompounds[[#Headers],[Fertiliser type f]], 0)</f>
        <v>0.18</v>
      </c>
      <c r="F21" s="148" cm="1">
        <f t="array" ref="F21">Common_InputFunctions.Utility_DisplayArrayInTable(Fertiliser_SourceData.Fertiliser_ChemicalCompoundElements_Data(),Table_Fertiliser_ChemicalCompounds[[#Headers],[Fertiliser type f]], 0)</f>
        <v>0</v>
      </c>
      <c r="G21" s="148" t="str" cm="1">
        <f t="array" ref="G21">Common_InputFunctions.Utility_DisplayArrayInTable(Fertiliser_SourceData.Fertiliser_ChemicalCompoundElements_Data(),Table_Fertiliser_ChemicalCompounds[[#Headers],[Fertiliser type f]], 0)</f>
        <v>Ammonium-based fertilisers</v>
      </c>
      <c r="H21" s="148" t="str" cm="1">
        <f t="array" ref="H21">Common_InputFunctions.Utility_DisplayArrayInTable(Fertiliser_SourceData.Fertiliser_ChemicalCompoundElements_Data(),Table_Fertiliser_ChemicalCompounds[[#Headers],[Fertiliser type f]], 0)</f>
        <v>Diammonium phosphate (DAP)</v>
      </c>
      <c r="I21" s="148" t="str" cm="1">
        <f t="array" ref="I21">Common_InputFunctions.Utility_DisplayArrayInTable(Fertiliser_SourceData.Fertiliser_ChemicalCompoundElements_Data(),Table_Fertiliser_ChemicalCompounds[[#Headers],[Fertiliser type f]], 0)</f>
        <v>VEERG</v>
      </c>
      <c r="K21" s="19" t="str" cm="1">
        <f t="array" ref="K21">Common_InputFunctions.Utility_DisplayArrayInTable(Fertiliser_SourceData.Fertiliser_FractionNCommonFertilisers_Data(), Table2[[#Headers],[Fertiliser type f]], 0)</f>
        <v>Diammonium phosphate (DAP)</v>
      </c>
      <c r="L21" s="19" cm="1">
        <f t="array" ref="L21">Common_InputFunctions.Utility_DisplayArrayInTable(Fertiliser_SourceData.Fertiliser_FractionNCommonFertilisers_Data(), Table2[[#Headers],[Fertiliser type f]], 0)</f>
        <v>0.18</v>
      </c>
      <c r="Q21" s="19" t="str" cm="1">
        <f t="array" ref="Q21">Common_InputFunctions.Utility_DisplayArrayInTable(Fertiliser_SourceData.Fertiliser_FractionUreaCommonFertilisers_Data(), Table28[[#Headers],[Fertiliser type f]], 0)</f>
        <v>Diammonium phosphate (DAP)</v>
      </c>
      <c r="R21" s="19" cm="1">
        <f t="array" ref="R21">Common_InputFunctions.Utility_DisplayArrayInTable(Fertiliser_SourceData.Fertiliser_FractionUreaCommonFertilisers_Data(), Table28[[#Headers],[Fertiliser type f]], 0)</f>
        <v>0</v>
      </c>
      <c r="V21" s="19" t="str" cm="1">
        <f t="array" ref="V21">Common_InputFunctions.Utility_DisplayArrayInTable(Fertiliser_SourceData.Fertiliser_UreaAmmoniaSourceRegions_Data(),Table_SourceData_Fertiliser_UreaAmmoniaSources[[#Headers],[Source]],0)</f>
        <v>Canada</v>
      </c>
    </row>
    <row r="22" spans="1:22" ht="20.100000000000001" customHeight="1" x14ac:dyDescent="0.2">
      <c r="A22" s="5" t="str">
        <f>HYPERLINK("#'Input - Fert Prod System'!A1", "Fert Prod System")</f>
        <v>Fert Prod System</v>
      </c>
      <c r="D22" s="148" t="str" cm="1">
        <f t="array" ref="D22">Common_InputFunctions.Utility_DisplayArrayInTable(Fertiliser_SourceData.Fertiliser_ChemicalCompoundElements_Data(),Table_Fertiliser_ChemicalCompounds[[#Headers],[Fertiliser type f]], 0)</f>
        <v>Urea</v>
      </c>
      <c r="E22" s="148" cm="1">
        <f t="array" ref="E22">Common_InputFunctions.Utility_DisplayArrayInTable(Fertiliser_SourceData.Fertiliser_ChemicalCompoundElements_Data(),Table_Fertiliser_ChemicalCompounds[[#Headers],[Fertiliser type f]], 0)</f>
        <v>0.46</v>
      </c>
      <c r="F22" s="148" cm="1">
        <f t="array" ref="F22">Common_InputFunctions.Utility_DisplayArrayInTable(Fertiliser_SourceData.Fertiliser_ChemicalCompoundElements_Data(),Table_Fertiliser_ChemicalCompounds[[#Headers],[Fertiliser type f]], 0)</f>
        <v>1</v>
      </c>
      <c r="G22" s="148" t="str" cm="1">
        <f t="array" ref="G22">Common_InputFunctions.Utility_DisplayArrayInTable(Fertiliser_SourceData.Fertiliser_ChemicalCompoundElements_Data(),Table_Fertiliser_ChemicalCompounds[[#Headers],[Fertiliser type f]], 0)</f>
        <v>Urea-based fertilisers</v>
      </c>
      <c r="H22" s="148" t="str" cm="1">
        <f t="array" ref="H22">Common_InputFunctions.Utility_DisplayArrayInTable(Fertiliser_SourceData.Fertiliser_ChemicalCompoundElements_Data(),Table_Fertiliser_ChemicalCompounds[[#Headers],[Fertiliser type f]], 0)</f>
        <v>Urea</v>
      </c>
      <c r="I22" s="148" t="str" cm="1">
        <f t="array" ref="I22">Common_InputFunctions.Utility_DisplayArrayInTable(Fertiliser_SourceData.Fertiliser_ChemicalCompoundElements_Data(),Table_Fertiliser_ChemicalCompounds[[#Headers],[Fertiliser type f]], 0)</f>
        <v>VEERG</v>
      </c>
      <c r="K22" s="19" t="str" cm="1">
        <f t="array" ref="K22">Common_InputFunctions.Utility_DisplayArrayInTable(Fertiliser_SourceData.Fertiliser_FractionNCommonFertilisers_Data(), Table2[[#Headers],[Fertiliser type f]], 0)</f>
        <v>Urea</v>
      </c>
      <c r="L22" s="19" cm="1">
        <f t="array" ref="L22">Common_InputFunctions.Utility_DisplayArrayInTable(Fertiliser_SourceData.Fertiliser_FractionNCommonFertilisers_Data(), Table2[[#Headers],[Fertiliser type f]], 0)</f>
        <v>0.46</v>
      </c>
      <c r="Q22" s="19" t="str" cm="1">
        <f t="array" ref="Q22">Common_InputFunctions.Utility_DisplayArrayInTable(Fertiliser_SourceData.Fertiliser_FractionUreaCommonFertilisers_Data(), Table28[[#Headers],[Fertiliser type f]], 0)</f>
        <v>Urea</v>
      </c>
      <c r="R22" s="19" cm="1">
        <f t="array" ref="R22">Common_InputFunctions.Utility_DisplayArrayInTable(Fertiliser_SourceData.Fertiliser_FractionUreaCommonFertilisers_Data(), Table28[[#Headers],[Fertiliser type f]], 0)</f>
        <v>1</v>
      </c>
      <c r="V22" s="19" t="str" cm="1">
        <f t="array" ref="V22">Common_InputFunctions.Utility_DisplayArrayInTable(Fertiliser_SourceData.Fertiliser_UreaAmmoniaSourceRegions_Data(),Table_SourceData_Fertiliser_UreaAmmoniaSources[[#Headers],[Source]],0)</f>
        <v>China</v>
      </c>
    </row>
    <row r="23" spans="1:22" ht="20.100000000000001" customHeight="1" x14ac:dyDescent="0.2">
      <c r="A23" s="5" t="str">
        <f>HYPERLINK("#'Input - Fertiliser'!A1", "Fertiliser")</f>
        <v>Fertiliser</v>
      </c>
      <c r="D23" s="148" t="str" cm="1">
        <f t="array" ref="D23">Common_InputFunctions.Utility_DisplayArrayInTable(Fertiliser_SourceData.Fertiliser_ChemicalCompoundElements_Data(),Table_Fertiliser_ChemicalCompounds[[#Headers],[Fertiliser type f]], 0)</f>
        <v>Sulphate of ammonia (SOA)</v>
      </c>
      <c r="E23" s="148" cm="1">
        <f t="array" ref="E23">Common_InputFunctions.Utility_DisplayArrayInTable(Fertiliser_SourceData.Fertiliser_ChemicalCompoundElements_Data(),Table_Fertiliser_ChemicalCompounds[[#Headers],[Fertiliser type f]], 0)</f>
        <v>0.21</v>
      </c>
      <c r="F23" s="148" cm="1">
        <f t="array" ref="F23">Common_InputFunctions.Utility_DisplayArrayInTable(Fertiliser_SourceData.Fertiliser_ChemicalCompoundElements_Data(),Table_Fertiliser_ChemicalCompounds[[#Headers],[Fertiliser type f]], 0)</f>
        <v>0</v>
      </c>
      <c r="G23" s="148" t="str" cm="1">
        <f t="array" ref="G23">Common_InputFunctions.Utility_DisplayArrayInTable(Fertiliser_SourceData.Fertiliser_ChemicalCompoundElements_Data(),Table_Fertiliser_ChemicalCompounds[[#Headers],[Fertiliser type f]], 0)</f>
        <v>Ammonium-based fertilisers</v>
      </c>
      <c r="H23" s="148" t="str" cm="1">
        <f t="array" ref="H23">Common_InputFunctions.Utility_DisplayArrayInTable(Fertiliser_SourceData.Fertiliser_ChemicalCompoundElements_Data(),Table_Fertiliser_ChemicalCompounds[[#Headers],[Fertiliser type f]], 0)</f>
        <v>Sulphate of ammonia (SOA)</v>
      </c>
      <c r="I23" s="148" t="str" cm="1">
        <f t="array" ref="I23">Common_InputFunctions.Utility_DisplayArrayInTable(Fertiliser_SourceData.Fertiliser_ChemicalCompoundElements_Data(),Table_Fertiliser_ChemicalCompounds[[#Headers],[Fertiliser type f]], 0)</f>
        <v>VEERG</v>
      </c>
      <c r="K23" s="19" t="str" cm="1">
        <f t="array" ref="K23">Common_InputFunctions.Utility_DisplayArrayInTable(Fertiliser_SourceData.Fertiliser_FractionNCommonFertilisers_Data(), Table2[[#Headers],[Fertiliser type f]], 0)</f>
        <v>Sulphate of ammonia (SOA)</v>
      </c>
      <c r="L23" s="19" cm="1">
        <f t="array" ref="L23">Common_InputFunctions.Utility_DisplayArrayInTable(Fertiliser_SourceData.Fertiliser_FractionNCommonFertilisers_Data(), Table2[[#Headers],[Fertiliser type f]], 0)</f>
        <v>0.21</v>
      </c>
      <c r="Q23" s="19" t="str" cm="1">
        <f t="array" ref="Q23">Common_InputFunctions.Utility_DisplayArrayInTable(Fertiliser_SourceData.Fertiliser_FractionUreaCommonFertilisers_Data(), Table28[[#Headers],[Fertiliser type f]], 0)</f>
        <v>Sulphate of ammonia (SOA)</v>
      </c>
      <c r="R23" s="19" cm="1">
        <f t="array" ref="R23">Common_InputFunctions.Utility_DisplayArrayInTable(Fertiliser_SourceData.Fertiliser_FractionUreaCommonFertilisers_Data(), Table28[[#Headers],[Fertiliser type f]], 0)</f>
        <v>0</v>
      </c>
      <c r="V23" s="19" t="str" cm="1">
        <f t="array" ref="V23">Common_InputFunctions.Utility_DisplayArrayInTable(Fertiliser_SourceData.Fertiliser_UreaAmmoniaSourceRegions_Data(),Table_SourceData_Fertiliser_UreaAmmoniaSources[[#Headers],[Source]],0)</f>
        <v>Yemen</v>
      </c>
    </row>
    <row r="24" spans="1:22" ht="20.100000000000001" customHeight="1" x14ac:dyDescent="0.2">
      <c r="D24" s="148" t="str" cm="1">
        <f t="array" ref="D24">Common_InputFunctions.Utility_DisplayArrayInTable(Fertiliser_SourceData.Fertiliser_ChemicalCompoundElements_Data(),Table_Fertiliser_ChemicalCompounds[[#Headers],[Fertiliser type f]], 0)</f>
        <v>Urea-ammonium nitrate (UAN)</v>
      </c>
      <c r="E24" s="148" cm="1">
        <f t="array" ref="E24">Common_InputFunctions.Utility_DisplayArrayInTable(Fertiliser_SourceData.Fertiliser_ChemicalCompoundElements_Data(),Table_Fertiliser_ChemicalCompounds[[#Headers],[Fertiliser type f]], 0)</f>
        <v>0.32</v>
      </c>
      <c r="F24" s="148" cm="1">
        <f t="array" ref="F24">Common_InputFunctions.Utility_DisplayArrayInTable(Fertiliser_SourceData.Fertiliser_ChemicalCompoundElements_Data(),Table_Fertiliser_ChemicalCompounds[[#Headers],[Fertiliser type f]], 0)</f>
        <v>0.35</v>
      </c>
      <c r="G24" s="148" t="str" cm="1">
        <f t="array" ref="G24">Common_InputFunctions.Utility_DisplayArrayInTable(Fertiliser_SourceData.Fertiliser_ChemicalCompoundElements_Data(),Table_Fertiliser_ChemicalCompounds[[#Headers],[Fertiliser type f]], 0)</f>
        <v>Urea-based fertilisers</v>
      </c>
      <c r="H24" s="148" t="str" cm="1">
        <f t="array" ref="H24">Common_InputFunctions.Utility_DisplayArrayInTable(Fertiliser_SourceData.Fertiliser_ChemicalCompoundElements_Data(),Table_Fertiliser_ChemicalCompounds[[#Headers],[Fertiliser type f]], 0)</f>
        <v>Urea-ammonium nitrate (UAN)</v>
      </c>
      <c r="I24" s="148" t="str" cm="1">
        <f t="array" ref="I24">Common_InputFunctions.Utility_DisplayArrayInTable(Fertiliser_SourceData.Fertiliser_ChemicalCompoundElements_Data(),Table_Fertiliser_ChemicalCompounds[[#Headers],[Fertiliser type f]], 0)</f>
        <v>VEERG</v>
      </c>
      <c r="K24" s="19" t="str" cm="1">
        <f t="array" ref="K24">Common_InputFunctions.Utility_DisplayArrayInTable(Fertiliser_SourceData.Fertiliser_FractionNCommonFertilisers_Data(), Table2[[#Headers],[Fertiliser type f]], 0)</f>
        <v>Urea-ammonium nitrate (UAN)</v>
      </c>
      <c r="L24" s="19" cm="1">
        <f t="array" ref="L24">Common_InputFunctions.Utility_DisplayArrayInTable(Fertiliser_SourceData.Fertiliser_FractionNCommonFertilisers_Data(), Table2[[#Headers],[Fertiliser type f]], 0)</f>
        <v>0.32</v>
      </c>
      <c r="Q24" s="19" t="str" cm="1">
        <f t="array" ref="Q24">Common_InputFunctions.Utility_DisplayArrayInTable(Fertiliser_SourceData.Fertiliser_FractionUreaCommonFertilisers_Data(), Table28[[#Headers],[Fertiliser type f]], 0)</f>
        <v>Urea-ammonium nitrate (UAN)</v>
      </c>
      <c r="R24" s="19" cm="1">
        <f t="array" ref="R24">Common_InputFunctions.Utility_DisplayArrayInTable(Fertiliser_SourceData.Fertiliser_FractionUreaCommonFertilisers_Data(), Table28[[#Headers],[Fertiliser type f]], 0)</f>
        <v>0.35</v>
      </c>
    </row>
    <row r="25" spans="1:22" ht="20.100000000000001" customHeight="1" x14ac:dyDescent="0.2">
      <c r="D25" s="148" t="str" cm="1">
        <f t="array" ref="D25">Common_InputFunctions.Utility_DisplayArrayInTable(Fertiliser_SourceData.Fertiliser_ChemicalCompoundElements_Data(),Table_Fertiliser_ChemicalCompounds[[#Headers],[Fertiliser type f]], 0)</f>
        <v>Ammonium nitrate (AN)</v>
      </c>
      <c r="E25" s="148" cm="1">
        <f t="array" ref="E25">Common_InputFunctions.Utility_DisplayArrayInTable(Fertiliser_SourceData.Fertiliser_ChemicalCompoundElements_Data(),Table_Fertiliser_ChemicalCompounds[[#Headers],[Fertiliser type f]], 0)</f>
        <v>0.33700000000000002</v>
      </c>
      <c r="F25" s="148" cm="1">
        <f t="array" ref="F25">Common_InputFunctions.Utility_DisplayArrayInTable(Fertiliser_SourceData.Fertiliser_ChemicalCompoundElements_Data(),Table_Fertiliser_ChemicalCompounds[[#Headers],[Fertiliser type f]], 0)</f>
        <v>0</v>
      </c>
      <c r="G25" s="148" t="str" cm="1">
        <f t="array" ref="G25">Common_InputFunctions.Utility_DisplayArrayInTable(Fertiliser_SourceData.Fertiliser_ChemicalCompoundElements_Data(),Table_Fertiliser_ChemicalCompounds[[#Headers],[Fertiliser type f]], 0)</f>
        <v>Ammonium-nitrate based fertilisers</v>
      </c>
      <c r="H25" s="148" t="str" cm="1">
        <f t="array" ref="H25">Common_InputFunctions.Utility_DisplayArrayInTable(Fertiliser_SourceData.Fertiliser_ChemicalCompoundElements_Data(),Table_Fertiliser_ChemicalCompounds[[#Headers],[Fertiliser type f]], 0)</f>
        <v>Ammonium nitrate (AN)</v>
      </c>
      <c r="I25" s="148" t="str" cm="1">
        <f t="array" ref="I25">Common_InputFunctions.Utility_DisplayArrayInTable(Fertiliser_SourceData.Fertiliser_ChemicalCompoundElements_Data(),Table_Fertiliser_ChemicalCompounds[[#Headers],[Fertiliser type f]], 0)</f>
        <v>VEERG</v>
      </c>
      <c r="K25" s="19" t="str" cm="1">
        <f t="array" ref="K25">Common_InputFunctions.Utility_DisplayArrayInTable(Fertiliser_SourceData.Fertiliser_FractionNCommonFertilisers_Data(), Table2[[#Headers],[Fertiliser type f]], 0)</f>
        <v>Ammonium nitrate (AN)</v>
      </c>
      <c r="L25" s="19" cm="1">
        <f t="array" ref="L25">Common_InputFunctions.Utility_DisplayArrayInTable(Fertiliser_SourceData.Fertiliser_FractionNCommonFertilisers_Data(), Table2[[#Headers],[Fertiliser type f]], 0)</f>
        <v>0.33700000000000002</v>
      </c>
      <c r="Q25" s="19" t="str" cm="1">
        <f t="array" ref="Q25">Common_InputFunctions.Utility_DisplayArrayInTable(Fertiliser_SourceData.Fertiliser_FractionUreaCommonFertilisers_Data(), Table28[[#Headers],[Fertiliser type f]], 0)</f>
        <v>Ammonium nitrate (AN)</v>
      </c>
      <c r="R25" s="19" cm="1">
        <f t="array" ref="R25">Common_InputFunctions.Utility_DisplayArrayInTable(Fertiliser_SourceData.Fertiliser_FractionUreaCommonFertilisers_Data(), Table28[[#Headers],[Fertiliser type f]], 0)</f>
        <v>0</v>
      </c>
    </row>
    <row r="26" spans="1:22" ht="20.100000000000001" customHeight="1" x14ac:dyDescent="0.2">
      <c r="A26" s="6" t="s">
        <v>2</v>
      </c>
      <c r="D26" s="148" t="str" cm="1">
        <f t="array" ref="D26">Common_InputFunctions.Utility_DisplayArrayInTable(Fertiliser_SourceData.Fertiliser_ChemicalCompoundElements_Data(),Table_Fertiliser_ChemicalCompounds[[#Headers],[Fertiliser type f]], 0)</f>
        <v>Calcium ammonium nitrate (CAN)</v>
      </c>
      <c r="E26" s="148" cm="1">
        <f t="array" ref="E26">Common_InputFunctions.Utility_DisplayArrayInTable(Fertiliser_SourceData.Fertiliser_ChemicalCompoundElements_Data(),Table_Fertiliser_ChemicalCompounds[[#Headers],[Fertiliser type f]], 0)</f>
        <v>0.27</v>
      </c>
      <c r="F26" s="148" cm="1">
        <f t="array" ref="F26">Common_InputFunctions.Utility_DisplayArrayInTable(Fertiliser_SourceData.Fertiliser_ChemicalCompoundElements_Data(),Table_Fertiliser_ChemicalCompounds[[#Headers],[Fertiliser type f]], 0)</f>
        <v>0</v>
      </c>
      <c r="G26" s="148" t="str" cm="1">
        <f t="array" ref="G26">Common_InputFunctions.Utility_DisplayArrayInTable(Fertiliser_SourceData.Fertiliser_ChemicalCompoundElements_Data(),Table_Fertiliser_ChemicalCompounds[[#Headers],[Fertiliser type f]], 0)</f>
        <v>Ammonium-nitrate based fertilisers</v>
      </c>
      <c r="H26" s="148" t="str" cm="1">
        <f t="array" ref="H26">Common_InputFunctions.Utility_DisplayArrayInTable(Fertiliser_SourceData.Fertiliser_ChemicalCompoundElements_Data(),Table_Fertiliser_ChemicalCompounds[[#Headers],[Fertiliser type f]], 0)</f>
        <v>Calcium ammonium nitrate (CAN)</v>
      </c>
      <c r="I26" s="148" t="str" cm="1">
        <f t="array" ref="I26">Common_InputFunctions.Utility_DisplayArrayInTable(Fertiliser_SourceData.Fertiliser_ChemicalCompoundElements_Data(),Table_Fertiliser_ChemicalCompounds[[#Headers],[Fertiliser type f]], 0)</f>
        <v>VEERG</v>
      </c>
      <c r="K26" s="19" t="str" cm="1">
        <f t="array" ref="K26">Common_InputFunctions.Utility_DisplayArrayInTable(Fertiliser_SourceData.Fertiliser_FractionNCommonFertilisers_Data(), Table2[[#Headers],[Fertiliser type f]], 0)</f>
        <v>Calcium ammonium nitrate (CAN)</v>
      </c>
      <c r="L26" s="19" cm="1">
        <f t="array" ref="L26">Common_InputFunctions.Utility_DisplayArrayInTable(Fertiliser_SourceData.Fertiliser_FractionNCommonFertilisers_Data(), Table2[[#Headers],[Fertiliser type f]], 0)</f>
        <v>0.27</v>
      </c>
      <c r="Q26" s="19" t="str" cm="1">
        <f t="array" ref="Q26">Common_InputFunctions.Utility_DisplayArrayInTable(Fertiliser_SourceData.Fertiliser_FractionUreaCommonFertilisers_Data(), Table28[[#Headers],[Fertiliser type f]], 0)</f>
        <v>Calcium ammonium nitrate (CAN)</v>
      </c>
      <c r="R26" s="19" cm="1">
        <f t="array" ref="R26">Common_InputFunctions.Utility_DisplayArrayInTable(Fertiliser_SourceData.Fertiliser_FractionUreaCommonFertilisers_Data(), Table28[[#Headers],[Fertiliser type f]], 0)</f>
        <v>0</v>
      </c>
    </row>
    <row r="27" spans="1:22" ht="20.100000000000001" customHeight="1" x14ac:dyDescent="0.2">
      <c r="A27" s="5" t="str">
        <f>HYPERLINK("#'4.6.1.1-2 Methane'!A1", "4.6.1.1-2 Manure Methane")</f>
        <v>4.6.1.1-2 Manure Methane</v>
      </c>
      <c r="D27" s="148" t="str" cm="1">
        <f t="array" ref="D27">Common_InputFunctions.Utility_DisplayArrayInTable(Fertiliser_SourceData.Fertiliser_ChemicalCompoundElements_Data(),Table_Fertiliser_ChemicalCompounds[[#Headers],[Fertiliser type f]], 0)</f>
        <v>Nitrogen - Ammoniacal</v>
      </c>
      <c r="E27" s="148" cm="1">
        <f t="array" ref="E27">Common_InputFunctions.Utility_DisplayArrayInTable(Fertiliser_SourceData.Fertiliser_ChemicalCompoundElements_Data(),Table_Fertiliser_ChemicalCompounds[[#Headers],[Fertiliser type f]], 0)</f>
        <v>1</v>
      </c>
      <c r="F27" s="148" cm="1">
        <f t="array" ref="F27">Common_InputFunctions.Utility_DisplayArrayInTable(Fertiliser_SourceData.Fertiliser_ChemicalCompoundElements_Data(),Table_Fertiliser_ChemicalCompounds[[#Headers],[Fertiliser type f]], 0)</f>
        <v>0</v>
      </c>
      <c r="G27" s="148" t="str" cm="1">
        <f t="array" ref="G27">Common_InputFunctions.Utility_DisplayArrayInTable(Fertiliser_SourceData.Fertiliser_ChemicalCompoundElements_Data(),Table_Fertiliser_ChemicalCompounds[[#Headers],[Fertiliser type f]], 0)</f>
        <v>Ammonium-based fertilisers</v>
      </c>
      <c r="H27" s="148" t="str" cm="1">
        <f t="array" ref="H27">Common_InputFunctions.Utility_DisplayArrayInTable(Fertiliser_SourceData.Fertiliser_ChemicalCompoundElements_Data(),Table_Fertiliser_ChemicalCompounds[[#Headers],[Fertiliser type f]], 0)</f>
        <v>Nitrogen - Ammoniacal</v>
      </c>
      <c r="I27" s="148" t="str" cm="1">
        <f t="array" ref="I27">Common_InputFunctions.Utility_DisplayArrayInTable(Fertiliser_SourceData.Fertiliser_ChemicalCompoundElements_Data(),Table_Fertiliser_ChemicalCompounds[[#Headers],[Fertiliser type f]], 0)</f>
        <v>LifeCycles</v>
      </c>
      <c r="K27" s="19" t="str" cm="1">
        <f t="array" ref="K27">Common_InputFunctions.Utility_DisplayArrayInTable(Fertiliser_SourceData.Fertiliser_FractionNCommonFertilisers_Data(), Table2[[#Headers],[Fertiliser type f]], 0)</f>
        <v>Ammonium Sulfate</v>
      </c>
      <c r="L27" s="19" cm="1">
        <f t="array" ref="L27">Common_InputFunctions.Utility_DisplayArrayInTable(Fertiliser_SourceData.Fertiliser_FractionNCommonFertilisers_Data(), Table2[[#Headers],[Fertiliser type f]], 0)</f>
        <v>0.21</v>
      </c>
      <c r="Q27" s="19" t="str" cm="1">
        <f t="array" ref="Q27">Common_InputFunctions.Utility_DisplayArrayInTable(Fertiliser_SourceData.Fertiliser_FractionUreaCommonFertilisers_Data(), Table28[[#Headers],[Fertiliser type f]], 0)</f>
        <v>Ammonium Sulfate</v>
      </c>
      <c r="R27" s="19" cm="1">
        <f t="array" ref="R27">Common_InputFunctions.Utility_DisplayArrayInTable(Fertiliser_SourceData.Fertiliser_FractionUreaCommonFertilisers_Data(), Table28[[#Headers],[Fertiliser type f]], 0)</f>
        <v>0</v>
      </c>
    </row>
    <row r="28" spans="1:22" ht="20.100000000000001" customHeight="1" x14ac:dyDescent="0.2">
      <c r="A28" s="5" t="str">
        <f>HYPERLINK("#'4.6.1.3-4 Direct N20'!A1", "4.6.1.3-4 Manure Direct N2O")</f>
        <v>4.6.1.3-4 Manure Direct N2O</v>
      </c>
      <c r="D28" s="148" t="str" cm="1">
        <f t="array" ref="D28">Common_InputFunctions.Utility_DisplayArrayInTable(Fertiliser_SourceData.Fertiliser_ChemicalCompoundElements_Data(),Table_Fertiliser_ChemicalCompounds[[#Headers],[Fertiliser type f]], 0)</f>
        <v>Nitrogen - Nitrate</v>
      </c>
      <c r="E28" s="148" cm="1">
        <f t="array" ref="E28">Common_InputFunctions.Utility_DisplayArrayInTable(Fertiliser_SourceData.Fertiliser_ChemicalCompoundElements_Data(),Table_Fertiliser_ChemicalCompounds[[#Headers],[Fertiliser type f]], 0)</f>
        <v>1</v>
      </c>
      <c r="F28" s="148" cm="1">
        <f t="array" ref="F28">Common_InputFunctions.Utility_DisplayArrayInTable(Fertiliser_SourceData.Fertiliser_ChemicalCompoundElements_Data(),Table_Fertiliser_ChemicalCompounds[[#Headers],[Fertiliser type f]], 0)</f>
        <v>0</v>
      </c>
      <c r="G28" s="148" t="str" cm="1">
        <f t="array" ref="G28">Common_InputFunctions.Utility_DisplayArrayInTable(Fertiliser_SourceData.Fertiliser_ChemicalCompoundElements_Data(),Table_Fertiliser_ChemicalCompounds[[#Headers],[Fertiliser type f]], 0)</f>
        <v>Nitrate-based fertilisers</v>
      </c>
      <c r="H28" s="148" t="str" cm="1">
        <f t="array" ref="H28">Common_InputFunctions.Utility_DisplayArrayInTable(Fertiliser_SourceData.Fertiliser_ChemicalCompoundElements_Data(),Table_Fertiliser_ChemicalCompounds[[#Headers],[Fertiliser type f]], 0)</f>
        <v>Nitrogen from Nitrate</v>
      </c>
      <c r="I28" s="148" t="str" cm="1">
        <f t="array" ref="I28">Common_InputFunctions.Utility_DisplayArrayInTable(Fertiliser_SourceData.Fertiliser_ChemicalCompoundElements_Data(),Table_Fertiliser_ChemicalCompounds[[#Headers],[Fertiliser type f]], 0)</f>
        <v>LifeCycles</v>
      </c>
      <c r="K28" s="19" t="str" cm="1">
        <f t="array" ref="K28">Common_InputFunctions.Utility_DisplayArrayInTable(Fertiliser_SourceData.Fertiliser_FractionNCommonFertilisers_Data(), Table2[[#Headers],[Fertiliser type f]], 0)</f>
        <v>Calcium Nitrate</v>
      </c>
      <c r="L28" s="19" cm="1">
        <f t="array" ref="L28">Common_InputFunctions.Utility_DisplayArrayInTable(Fertiliser_SourceData.Fertiliser_FractionNCommonFertilisers_Data(), Table2[[#Headers],[Fertiliser type f]], 0)</f>
        <v>0.155</v>
      </c>
      <c r="Q28" s="19" t="str" cm="1">
        <f t="array" ref="Q28">Common_InputFunctions.Utility_DisplayArrayInTable(Fertiliser_SourceData.Fertiliser_FractionUreaCommonFertilisers_Data(), Table28[[#Headers],[Fertiliser type f]], 0)</f>
        <v>Calcium Nitrate</v>
      </c>
      <c r="R28" s="19" cm="1">
        <f t="array" ref="R28">Common_InputFunctions.Utility_DisplayArrayInTable(Fertiliser_SourceData.Fertiliser_FractionUreaCommonFertilisers_Data(), Table28[[#Headers],[Fertiliser type f]], 0)</f>
        <v>0</v>
      </c>
    </row>
    <row r="29" spans="1:22" ht="20.100000000000001" customHeight="1" x14ac:dyDescent="0.2">
      <c r="A29" s="5" t="str">
        <f>HYPERLINK("#'4.6.1.5-6 Atmos Dep'!A1", "4.6.1.5-6 Manure Atmos Dep")</f>
        <v>4.6.1.5-6 Manure Atmos Dep</v>
      </c>
      <c r="D29" s="148" t="str" cm="1">
        <f t="array" ref="D29">Common_InputFunctions.Utility_DisplayArrayInTable(Fertiliser_SourceData.Fertiliser_ChemicalCompoundElements_Data(),Table_Fertiliser_ChemicalCompounds[[#Headers],[Fertiliser type f]], 0)</f>
        <v>Nitrogen - Generic</v>
      </c>
      <c r="E29" s="148" cm="1">
        <f t="array" ref="E29">Common_InputFunctions.Utility_DisplayArrayInTable(Fertiliser_SourceData.Fertiliser_ChemicalCompoundElements_Data(),Table_Fertiliser_ChemicalCompounds[[#Headers],[Fertiliser type f]], 0)</f>
        <v>1</v>
      </c>
      <c r="F29" s="148" cm="1">
        <f t="array" ref="F29">Common_InputFunctions.Utility_DisplayArrayInTable(Fertiliser_SourceData.Fertiliser_ChemicalCompoundElements_Data(),Table_Fertiliser_ChemicalCompounds[[#Headers],[Fertiliser type f]], 0)</f>
        <v>0</v>
      </c>
      <c r="G29" s="148" t="str" cm="1">
        <f t="array" ref="G29">Common_InputFunctions.Utility_DisplayArrayInTable(Fertiliser_SourceData.Fertiliser_ChemicalCompoundElements_Data(),Table_Fertiliser_ChemicalCompounds[[#Headers],[Fertiliser type f]], 0)</f>
        <v>Urea-based fertilisers</v>
      </c>
      <c r="H29" s="148" t="str" cm="1">
        <f t="array" ref="H29">Common_InputFunctions.Utility_DisplayArrayInTable(Fertiliser_SourceData.Fertiliser_ChemicalCompoundElements_Data(),Table_Fertiliser_ChemicalCompounds[[#Headers],[Fertiliser type f]], 0)</f>
        <v>Nitrogen from fertiliser</v>
      </c>
      <c r="I29" s="148"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
      <c r="A30" s="5" t="str">
        <f>HYPERLINK("#'4.6.1.7-8 Leaching and runoff'!A1", "4.6.1.7-8 Manure Leaching and runoff")</f>
        <v>4.6.1.7-8 Manure Leaching and runoff</v>
      </c>
      <c r="D30" s="148" t="str" cm="1">
        <f t="array" ref="D30">Common_InputFunctions.Utility_DisplayArrayInTable(Fertiliser_SourceData.Fertiliser_ChemicalCompoundElements_Data(),Table_Fertiliser_ChemicalCompounds[[#Headers],[Fertiliser type f]], 0)</f>
        <v>Phosphorus - Generic</v>
      </c>
      <c r="E30" s="148" cm="1">
        <f t="array" ref="E30">Common_InputFunctions.Utility_DisplayArrayInTable(Fertiliser_SourceData.Fertiliser_ChemicalCompoundElements_Data(),Table_Fertiliser_ChemicalCompounds[[#Headers],[Fertiliser type f]], 0)</f>
        <v>0</v>
      </c>
      <c r="F30" s="148" cm="1">
        <f t="array" ref="F30">Common_InputFunctions.Utility_DisplayArrayInTable(Fertiliser_SourceData.Fertiliser_ChemicalCompoundElements_Data(),Table_Fertiliser_ChemicalCompounds[[#Headers],[Fertiliser type f]], 0)</f>
        <v>0</v>
      </c>
      <c r="G30" s="148" t="str" cm="1">
        <f t="array" ref="G30">Common_InputFunctions.Utility_DisplayArrayInTable(Fertiliser_SourceData.Fertiliser_ChemicalCompoundElements_Data(),Table_Fertiliser_ChemicalCompounds[[#Headers],[Fertiliser type f]], 0)</f>
        <v>Other fertilisers</v>
      </c>
      <c r="H30" s="148" t="str" cm="1">
        <f t="array" ref="H30">Common_InputFunctions.Utility_DisplayArrayInTable(Fertiliser_SourceData.Fertiliser_ChemicalCompoundElements_Data(),Table_Fertiliser_ChemicalCompounds[[#Headers],[Fertiliser type f]], 0)</f>
        <v>Phosphorus from fertiliser</v>
      </c>
      <c r="I30" s="148"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
      <c r="A31" s="5" t="str">
        <f>HYPERLINK("#'4.6.1.9 Manure applied to soils'!A1", "4.6.1.9 Manure applied to soils")</f>
        <v>4.6.1.9 Manure applied to soils</v>
      </c>
      <c r="D31" s="148" t="str" cm="1">
        <f t="array" ref="D31">Common_InputFunctions.Utility_DisplayArrayInTable(Fertiliser_SourceData.Fertiliser_ChemicalCompoundElements_Data(),Table_Fertiliser_ChemicalCompounds[[#Headers],[Fertiliser type f]], 0)</f>
        <v>Potassium - Generic</v>
      </c>
      <c r="E31" s="148" cm="1">
        <f t="array" ref="E31">Common_InputFunctions.Utility_DisplayArrayInTable(Fertiliser_SourceData.Fertiliser_ChemicalCompoundElements_Data(),Table_Fertiliser_ChemicalCompounds[[#Headers],[Fertiliser type f]], 0)</f>
        <v>0</v>
      </c>
      <c r="F31" s="148" cm="1">
        <f t="array" ref="F31">Common_InputFunctions.Utility_DisplayArrayInTable(Fertiliser_SourceData.Fertiliser_ChemicalCompoundElements_Data(),Table_Fertiliser_ChemicalCompounds[[#Headers],[Fertiliser type f]], 0)</f>
        <v>0</v>
      </c>
      <c r="G31" s="148" t="str" cm="1">
        <f t="array" ref="G31">Common_InputFunctions.Utility_DisplayArrayInTable(Fertiliser_SourceData.Fertiliser_ChemicalCompoundElements_Data(),Table_Fertiliser_ChemicalCompounds[[#Headers],[Fertiliser type f]], 0)</f>
        <v>Other fertilisers</v>
      </c>
      <c r="H31" s="148" t="str" cm="1">
        <f t="array" ref="H31">Common_InputFunctions.Utility_DisplayArrayInTable(Fertiliser_SourceData.Fertiliser_ChemicalCompoundElements_Data(),Table_Fertiliser_ChemicalCompounds[[#Headers],[Fertiliser type f]], 0)</f>
        <v>Potassium from fertiliser</v>
      </c>
      <c r="I31" s="148"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
      <c r="A32" s="5" t="str">
        <f>HYPERLINK("#'4.6.1.10-11 Soil direct N2O'!A1", "4.6.1.10-11 Soil direct N2O")</f>
        <v>4.6.1.10-11 Soil direct N2O</v>
      </c>
      <c r="D32" s="148" t="str" cm="1">
        <f t="array" ref="D32">Common_InputFunctions.Utility_DisplayArrayInTable(Fertiliser_SourceData.Fertiliser_ChemicalCompoundElements_Data(),Table_Fertiliser_ChemicalCompounds[[#Headers],[Fertiliser type f]], 0)</f>
        <v>Sulfur - Generic</v>
      </c>
      <c r="E32" s="148" cm="1">
        <f t="array" ref="E32">Common_InputFunctions.Utility_DisplayArrayInTable(Fertiliser_SourceData.Fertiliser_ChemicalCompoundElements_Data(),Table_Fertiliser_ChemicalCompounds[[#Headers],[Fertiliser type f]], 0)</f>
        <v>0</v>
      </c>
      <c r="F32" s="148" cm="1">
        <f t="array" ref="F32">Common_InputFunctions.Utility_DisplayArrayInTable(Fertiliser_SourceData.Fertiliser_ChemicalCompoundElements_Data(),Table_Fertiliser_ChemicalCompounds[[#Headers],[Fertiliser type f]], 0)</f>
        <v>0</v>
      </c>
      <c r="G32" s="148" t="str" cm="1">
        <f t="array" ref="G32">Common_InputFunctions.Utility_DisplayArrayInTable(Fertiliser_SourceData.Fertiliser_ChemicalCompoundElements_Data(),Table_Fertiliser_ChemicalCompounds[[#Headers],[Fertiliser type f]], 0)</f>
        <v>Other fertilisers</v>
      </c>
      <c r="H32" s="148" t="str" cm="1">
        <f t="array" ref="H32">Common_InputFunctions.Utility_DisplayArrayInTable(Fertiliser_SourceData.Fertiliser_ChemicalCompoundElements_Data(),Table_Fertiliser_ChemicalCompounds[[#Headers],[Fertiliser type f]], 0)</f>
        <v>Sulfur from fertiliser</v>
      </c>
      <c r="I32" s="148"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
      <c r="A33" s="5" t="str">
        <f>HYPERLINK("#'4.6.1.12-13 Soil atmos dep'!A1", "4.6.1.12-13 Soil atmos dep")</f>
        <v>4.6.1.12-13 Soil atmos dep</v>
      </c>
      <c r="D33" s="148" t="str" cm="1">
        <f t="array" ref="D33">Common_InputFunctions.Utility_DisplayArrayInTable(Fertiliser_SourceData.Fertiliser_ChemicalCompoundElements_Data(),Table_Fertiliser_ChemicalCompounds[[#Headers],[Fertiliser type f]], 0)</f>
        <v>Zinc - Generic</v>
      </c>
      <c r="E33" s="148" cm="1">
        <f t="array" ref="E33">Common_InputFunctions.Utility_DisplayArrayInTable(Fertiliser_SourceData.Fertiliser_ChemicalCompoundElements_Data(),Table_Fertiliser_ChemicalCompounds[[#Headers],[Fertiliser type f]], 0)</f>
        <v>0</v>
      </c>
      <c r="F33" s="148" cm="1">
        <f t="array" ref="F33">Common_InputFunctions.Utility_DisplayArrayInTable(Fertiliser_SourceData.Fertiliser_ChemicalCompoundElements_Data(),Table_Fertiliser_ChemicalCompounds[[#Headers],[Fertiliser type f]], 0)</f>
        <v>0</v>
      </c>
      <c r="G33" s="148" t="str" cm="1">
        <f t="array" ref="G33">Common_InputFunctions.Utility_DisplayArrayInTable(Fertiliser_SourceData.Fertiliser_ChemicalCompoundElements_Data(),Table_Fertiliser_ChemicalCompounds[[#Headers],[Fertiliser type f]], 0)</f>
        <v>Other fertilisers</v>
      </c>
      <c r="H33" s="148" t="str" cm="1">
        <f t="array" ref="H33">Common_InputFunctions.Utility_DisplayArrayInTable(Fertiliser_SourceData.Fertiliser_ChemicalCompoundElements_Data(),Table_Fertiliser_ChemicalCompounds[[#Headers],[Fertiliser type f]], 0)</f>
        <v>Zinc from fertiliser</v>
      </c>
      <c r="I33" s="148"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
      <c r="A34" s="5" t="str">
        <f>HYPERLINK("#'4.6.1.14-15 Soil leach runoff'!A1", "4.6.1.14-15 Soil leach runoff")</f>
        <v>4.6.1.14-15 Soil leach runoff</v>
      </c>
      <c r="D34" s="148" t="str" cm="1">
        <f t="array" ref="D34">Common_InputFunctions.Utility_DisplayArrayInTable(Fertiliser_SourceData.Fertiliser_ChemicalCompoundElements_Data(),Table_Fertiliser_ChemicalCompounds[[#Headers],[Fertiliser type f]], 0)</f>
        <v>Muriate of potash (MOP)</v>
      </c>
      <c r="E34" s="148" cm="1">
        <f t="array" ref="E34">Common_InputFunctions.Utility_DisplayArrayInTable(Fertiliser_SourceData.Fertiliser_ChemicalCompoundElements_Data(),Table_Fertiliser_ChemicalCompounds[[#Headers],[Fertiliser type f]], 0)</f>
        <v>0</v>
      </c>
      <c r="F34" s="148" cm="1">
        <f t="array" ref="F34">Common_InputFunctions.Utility_DisplayArrayInTable(Fertiliser_SourceData.Fertiliser_ChemicalCompoundElements_Data(),Table_Fertiliser_ChemicalCompounds[[#Headers],[Fertiliser type f]], 0)</f>
        <v>0</v>
      </c>
      <c r="G34" s="148" t="str" cm="1">
        <f t="array" ref="G34">Common_InputFunctions.Utility_DisplayArrayInTable(Fertiliser_SourceData.Fertiliser_ChemicalCompoundElements_Data(),Table_Fertiliser_ChemicalCompounds[[#Headers],[Fertiliser type f]], 0)</f>
        <v>Other fertilisers</v>
      </c>
      <c r="H34" s="148" t="str" cm="1">
        <f t="array" ref="H34">Common_InputFunctions.Utility_DisplayArrayInTable(Fertiliser_SourceData.Fertiliser_ChemicalCompoundElements_Data(),Table_Fertiliser_ChemicalCompounds[[#Headers],[Fertiliser type f]], 0)</f>
        <v>Muriate of potash (MOP)</v>
      </c>
      <c r="I34" s="148"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
      <c r="A35" s="5" t="str">
        <f>HYPERLINK("#'8.1.1.1-2 Transport fuel'!A1", "8.1.1.1-2 Transport fuel")</f>
        <v>8.1.1.1-2 Transport fuel</v>
      </c>
      <c r="D35" s="148" t="str" cm="1">
        <f t="array" ref="D35">Common_InputFunctions.Utility_DisplayArrayInTable(Fertiliser_SourceData.Fertiliser_ChemicalCompoundElements_Data(),Table_Fertiliser_ChemicalCompounds[[#Headers],[Fertiliser type f]], 0)</f>
        <v>Double superphosphate</v>
      </c>
      <c r="E35" s="148" cm="1">
        <f t="array" ref="E35">Common_InputFunctions.Utility_DisplayArrayInTable(Fertiliser_SourceData.Fertiliser_ChemicalCompoundElements_Data(),Table_Fertiliser_ChemicalCompounds[[#Headers],[Fertiliser type f]], 0)</f>
        <v>0</v>
      </c>
      <c r="F35" s="148" cm="1">
        <f t="array" ref="F35">Common_InputFunctions.Utility_DisplayArrayInTable(Fertiliser_SourceData.Fertiliser_ChemicalCompoundElements_Data(),Table_Fertiliser_ChemicalCompounds[[#Headers],[Fertiliser type f]], 0)</f>
        <v>0</v>
      </c>
      <c r="G35" s="148" t="str" cm="1">
        <f t="array" ref="G35">Common_InputFunctions.Utility_DisplayArrayInTable(Fertiliser_SourceData.Fertiliser_ChemicalCompoundElements_Data(),Table_Fertiliser_ChemicalCompounds[[#Headers],[Fertiliser type f]], 0)</f>
        <v>Other fertilisers</v>
      </c>
      <c r="H35" s="148" t="str" cm="1">
        <f t="array" ref="H35">Common_InputFunctions.Utility_DisplayArrayInTable(Fertiliser_SourceData.Fertiliser_ChemicalCompoundElements_Data(),Table_Fertiliser_ChemicalCompounds[[#Headers],[Fertiliser type f]], 0)</f>
        <v>Double superphosphate</v>
      </c>
      <c r="I35" s="148"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
      <c r="A36" s="5" t="str">
        <f>HYPERLINK("#'8.2.1.1-2 Stationary fuel'!A1", "8.2.1.1-2 Stationary fuel")</f>
        <v>8.2.1.1-2 Stationary fuel</v>
      </c>
      <c r="D36" s="148" t="str" cm="1">
        <f t="array" ref="D36">Common_InputFunctions.Utility_DisplayArrayInTable(Fertiliser_SourceData.Fertiliser_ChemicalCompoundElements_Data(),Table_Fertiliser_ChemicalCompounds[[#Headers],[Fertiliser type f]], 0)</f>
        <v>Single superphosphate (SSP)</v>
      </c>
      <c r="E36" s="148" cm="1">
        <f t="array" ref="E36">Common_InputFunctions.Utility_DisplayArrayInTable(Fertiliser_SourceData.Fertiliser_ChemicalCompoundElements_Data(),Table_Fertiliser_ChemicalCompounds[[#Headers],[Fertiliser type f]], 0)</f>
        <v>0</v>
      </c>
      <c r="F36" s="148" cm="1">
        <f t="array" ref="F36">Common_InputFunctions.Utility_DisplayArrayInTable(Fertiliser_SourceData.Fertiliser_ChemicalCompoundElements_Data(),Table_Fertiliser_ChemicalCompounds[[#Headers],[Fertiliser type f]], 0)</f>
        <v>0</v>
      </c>
      <c r="G36" s="148" t="str" cm="1">
        <f t="array" ref="G36">Common_InputFunctions.Utility_DisplayArrayInTable(Fertiliser_SourceData.Fertiliser_ChemicalCompoundElements_Data(),Table_Fertiliser_ChemicalCompounds[[#Headers],[Fertiliser type f]], 0)</f>
        <v>Other fertilisers</v>
      </c>
      <c r="H36" s="148" t="str" cm="1">
        <f t="array" ref="H36">Common_InputFunctions.Utility_DisplayArrayInTable(Fertiliser_SourceData.Fertiliser_ChemicalCompoundElements_Data(),Table_Fertiliser_ChemicalCompounds[[#Headers],[Fertiliser type f]], 0)</f>
        <v>Single superphosphate (SSP)</v>
      </c>
      <c r="I36" s="148"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
      <c r="A37" s="5" t="str">
        <f>HYPERLINK("#'10.1.1-2 Solid waste treatment'!A1", "10.1.1.1-2 Solid waste")</f>
        <v>10.1.1.1-2 Solid waste</v>
      </c>
      <c r="D37" s="148" t="str" cm="1">
        <f t="array" ref="D37">Common_InputFunctions.Utility_DisplayArrayInTable(Fertiliser_SourceData.Fertiliser_ChemicalCompoundElements_Data(),Table_Fertiliser_ChemicalCompounds[[#Headers],[Fertiliser type f]], 0)</f>
        <v>Ammonia</v>
      </c>
      <c r="E37" s="148" cm="1">
        <f t="array" ref="E37">Common_InputFunctions.Utility_DisplayArrayInTable(Fertiliser_SourceData.Fertiliser_ChemicalCompoundElements_Data(),Table_Fertiliser_ChemicalCompounds[[#Headers],[Fertiliser type f]], 0)</f>
        <v>0.82350000000000001</v>
      </c>
      <c r="F37" s="148" cm="1">
        <f t="array" ref="F37">Common_InputFunctions.Utility_DisplayArrayInTable(Fertiliser_SourceData.Fertiliser_ChemicalCompoundElements_Data(),Table_Fertiliser_ChemicalCompounds[[#Headers],[Fertiliser type f]], 0)</f>
        <v>0</v>
      </c>
      <c r="G37" s="148" t="str" cm="1">
        <f t="array" ref="G37">Common_InputFunctions.Utility_DisplayArrayInTable(Fertiliser_SourceData.Fertiliser_ChemicalCompoundElements_Data(),Table_Fertiliser_ChemicalCompounds[[#Headers],[Fertiliser type f]], 0)</f>
        <v>Ammonium-based fertilisers</v>
      </c>
      <c r="H37" s="148" t="str" cm="1">
        <f t="array" ref="H37">Common_InputFunctions.Utility_DisplayArrayInTable(Fertiliser_SourceData.Fertiliser_ChemicalCompoundElements_Data(),Table_Fertiliser_ChemicalCompounds[[#Headers],[Fertiliser type f]], 0)</f>
        <v>Ammonia</v>
      </c>
      <c r="I37" s="148"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
      <c r="A38" s="5" t="str">
        <f>HYPERLINK("#'14.1.1-2 Purchased electricity'!A1", "14.1.1-2 Purchased electricity")</f>
        <v>14.1.1-2 Purchased electricity</v>
      </c>
      <c r="D38" s="19" t="str" cm="1">
        <f t="array" ref="D38">Common_InputFunctions.Utility_DisplayArrayInTable(Fertiliser_SourceData.Fertiliser_ChemicalCompoundElements_Data(),Table_Fertiliser_ChemicalCompounds[[#Headers],[Fertiliser type f]], 0)</f>
        <v>Calcium nitrate</v>
      </c>
      <c r="E38" s="19" cm="1">
        <f t="array" ref="E38">Common_InputFunctions.Utility_DisplayArrayInTable(Fertiliser_SourceData.Fertiliser_ChemicalCompoundElements_Data(),Table_Fertiliser_ChemicalCompounds[[#Headers],[Fertiliser type f]], 0)</f>
        <v>0.155</v>
      </c>
      <c r="F38" s="19" cm="1">
        <f t="array" ref="F38">Common_InputFunctions.Utility_DisplayArrayInTable(Fertiliser_SourceData.Fertiliser_ChemicalCompoundElements_Data(),Table_Fertiliser_ChemicalCompounds[[#Headers],[Fertiliser type f]], 0)</f>
        <v>0</v>
      </c>
      <c r="G38" s="19" t="str" cm="1">
        <f t="array" ref="G38">Common_InputFunctions.Utility_DisplayArrayInTable(Fertiliser_SourceData.Fertiliser_ChemicalCompoundElements_Data(),Table_Fertiliser_ChemicalCompounds[[#Headers],[Fertiliser type f]], 0)</f>
        <v>Nitrate-based fertilisers</v>
      </c>
      <c r="H38" s="19" t="str" cm="1">
        <f t="array" ref="H38">Common_InputFunctions.Utility_DisplayArrayInTable(Fertiliser_SourceData.Fertiliser_ChemicalCompoundElements_Data(),Table_Fertiliser_ChemicalCompounds[[#Headers],[Fertiliser type f]], 0)</f>
        <v>Calcium nitrate</v>
      </c>
      <c r="I38" s="19" t="str" cm="1">
        <f t="array" ref="I38">Common_InputFunctions.Utility_DisplayArrayInTable(Fertiliser_SourceData.Fertiliser_ChemicalCompoundElements_Data(),Table_Fertiliser_ChemicalCompounds[[#Headers],[Fertiliser type f]], 0)</f>
        <v>VEERG</v>
      </c>
    </row>
    <row r="39" spans="1:10" ht="20.100000000000001" customHeight="1" x14ac:dyDescent="0.2">
      <c r="A39" s="5" t="str">
        <f>HYPERLINK("#'15 Scope 3'!A1", "15 Scope 3")</f>
        <v>15 Scope 3</v>
      </c>
    </row>
    <row r="40" spans="1:10" ht="20.100000000000001" customHeight="1" x14ac:dyDescent="0.2">
      <c r="A40" s="5" t="str">
        <f>HYPERLINK("#'Calcs - Manure sent off-site'!A1", "Calcs - Manure sent off-site")</f>
        <v>Calcs - Manure sent off-site</v>
      </c>
      <c r="D40" s="2" t="s">
        <v>849</v>
      </c>
      <c r="F40" s="2" t="s">
        <v>850</v>
      </c>
      <c r="H40" s="2" t="s">
        <v>515</v>
      </c>
      <c r="J40" s="2" t="s">
        <v>851</v>
      </c>
    </row>
    <row r="41" spans="1:10" ht="20.100000000000001" customHeight="1" x14ac:dyDescent="0.2">
      <c r="A41" s="5" t="str">
        <f>HYPERLINK("#'5.1.1.1-2 Inorganic fert N2O'!A1", "5.1.1.1-2 Inorganic fert N2O")</f>
        <v>5.1.1.1-2 Inorganic fert N2O</v>
      </c>
      <c r="D41" s="19" t="s">
        <v>311</v>
      </c>
      <c r="F41" s="19" t="s">
        <v>311</v>
      </c>
      <c r="H41" s="19" t="s">
        <v>63</v>
      </c>
      <c r="J41" s="19" t="s">
        <v>852</v>
      </c>
    </row>
    <row r="42" spans="1:10" ht="20.100000000000001" customHeight="1" x14ac:dyDescent="0.2">
      <c r="A42" s="5" t="str">
        <f>HYPERLINK("#'5.1.1.3-4 Inorganic fert CO2'!A1", "5.1.1.3-4 Inorganic fert CO2")</f>
        <v>5.1.1.3-4 Inorganic fert CO2</v>
      </c>
      <c r="D42" s="19" t="s">
        <v>853</v>
      </c>
      <c r="F42" s="19" t="s">
        <v>853</v>
      </c>
      <c r="H42" s="19" t="s">
        <v>516</v>
      </c>
      <c r="J42" s="19" t="s">
        <v>854</v>
      </c>
    </row>
    <row r="43" spans="1:10" ht="20.100000000000001" customHeight="1" x14ac:dyDescent="0.2">
      <c r="A43" s="5" t="str">
        <f>HYPERLINK("#'5.2.1.1-2 Organic Fert N2O'!A1", "5.2.1.1-2 Organic Fert N2O")</f>
        <v>5.2.1.1-2 Organic Fert N2O</v>
      </c>
      <c r="D43" s="1" t="s">
        <v>325</v>
      </c>
      <c r="F43" s="1" t="s">
        <v>855</v>
      </c>
      <c r="H43" s="19" t="s">
        <v>517</v>
      </c>
      <c r="J43" s="1" t="s">
        <v>750</v>
      </c>
    </row>
    <row r="44" spans="1:10" ht="20.100000000000001" customHeight="1" x14ac:dyDescent="0.2">
      <c r="A44" s="5" t="str">
        <f>HYPERLINK("#'5.3.1.1-2 Lime CO2'!A1", "5.3.1.1-2 Lime CO2")</f>
        <v>5.3.1.1-2 Lime CO2</v>
      </c>
      <c r="F44" s="1" t="s">
        <v>683</v>
      </c>
      <c r="H44" s="1" t="s">
        <v>326</v>
      </c>
      <c r="J44" s="1" t="s">
        <v>856</v>
      </c>
    </row>
    <row r="45" spans="1:10" ht="20.100000000000001" customHeight="1" x14ac:dyDescent="0.2">
      <c r="A45" s="5" t="str">
        <f>HYPERLINK("#'5.4.1.1-4 Atmos deposition'!A1", "5.4.1.1-4 Atmos deposition")</f>
        <v>5.4.1.1-4 Atmos deposition</v>
      </c>
      <c r="F45" s="1" t="s">
        <v>789</v>
      </c>
      <c r="H45" s="1" t="s">
        <v>518</v>
      </c>
      <c r="J45" s="1" t="s">
        <v>749</v>
      </c>
    </row>
    <row r="46" spans="1:10" ht="20.100000000000001" customHeight="1" x14ac:dyDescent="0.2">
      <c r="A46" s="5" t="str">
        <f>HYPERLINK("#'5.5.1.1-2 Leaching and runoff'!A1", "5.5.1.1-2 Leaching and runoff")</f>
        <v>5.5.1.1-2 Leaching and runoff</v>
      </c>
      <c r="H46" s="1" t="s">
        <v>519</v>
      </c>
      <c r="J46" s="1" t="s">
        <v>751</v>
      </c>
    </row>
    <row r="48" spans="1:10" ht="20.100000000000001" customHeight="1" x14ac:dyDescent="0.2">
      <c r="D48" s="2" t="str" cm="1">
        <f t="array" ref="D48">Fertiliser_SourceData.Fertiliser_FracGASF_Title()</f>
        <v>Fraction of inorganic fertiliser that volatilises as NH3 and NOx</v>
      </c>
      <c r="G48" s="154"/>
    </row>
    <row r="49" spans="1:8" ht="20.100000000000001" customHeight="1" x14ac:dyDescent="0.2">
      <c r="A49" s="80" t="s">
        <v>1</v>
      </c>
      <c r="D49" s="17" t="str" cm="1">
        <f t="array" ref="D49">Fertiliser_SourceData.Fertiliser_FracGASF_Source()</f>
        <v>Table A.2.2.6: Fraction of inorganic fertiliser f that volatilises as NH3 and NOx ((kg NH3-N + NOx-N)/kg N) (FracGASFf)</v>
      </c>
      <c r="G49" s="154"/>
    </row>
    <row r="50" spans="1:8" ht="20.100000000000001" customHeight="1" x14ac:dyDescent="0.2">
      <c r="A50" s="5" t="str">
        <f>HYPERLINK("#'Constants - Poultry'!A1", "Constants - Poultry")</f>
        <v>Constants - Poultry</v>
      </c>
      <c r="D50" s="19" t="s">
        <v>766</v>
      </c>
      <c r="E50" s="19" t="s">
        <v>857</v>
      </c>
      <c r="G50" s="154"/>
    </row>
    <row r="51" spans="1:8" ht="20.100000000000001" customHeight="1" x14ac:dyDescent="0.2">
      <c r="A51" s="5" t="str">
        <f>HYPERLINK("#'Constants - Common livestock'!A1", "Constants - Common Livestock")</f>
        <v>Constants - Common Livestock</v>
      </c>
      <c r="D51" s="19" t="str" cm="1">
        <f t="array" ref="D51">Common_InputFunctions.Utility_DisplayArrayInTable(Fertiliser_SourceData.Fertiliser_FracGASF_Data(), Table_SourceData_Fertiliser_FracGASF[[#Headers],[Fertiliser type f]], 0)</f>
        <v>Urea-based fertilisers</v>
      </c>
      <c r="E51" s="19" cm="1">
        <f t="array" ref="E51">Common_InputFunctions.Utility_DisplayArrayInTable(Fertiliser_SourceData.Fertiliser_FracGASF_Data(), Table_SourceData_Fertiliser_FracGASF[[#Headers],[Fertiliser type f]], 0)</f>
        <v>0.15</v>
      </c>
      <c r="G51" s="154"/>
    </row>
    <row r="52" spans="1:8" ht="20.100000000000001" customHeight="1" x14ac:dyDescent="0.2">
      <c r="A52" s="5" t="str">
        <f>HYPERLINK("#'Constants - Electricity'!A1", "Constants - Electricity")</f>
        <v>Constants - Electricity</v>
      </c>
      <c r="D52" s="1" t="str" cm="1">
        <f t="array" ref="D52">Common_InputFunctions.Utility_DisplayArrayInTable(Fertiliser_SourceData.Fertiliser_FracGASF_Data(), Table_SourceData_Fertiliser_FracGASF[[#Headers],[Fertiliser type f]], 0)</f>
        <v>Ammonium-based fertilisers</v>
      </c>
      <c r="E52" s="19" cm="1">
        <f t="array" ref="E52">Common_InputFunctions.Utility_DisplayArrayInTable(Fertiliser_SourceData.Fertiliser_FracGASF_Data(), Table_SourceData_Fertiliser_FracGASF[[#Headers],[Fertiliser type f]], 0)</f>
        <v>0.08</v>
      </c>
      <c r="G52" s="154"/>
    </row>
    <row r="53" spans="1:8" ht="20.100000000000001" customHeight="1" x14ac:dyDescent="0.2">
      <c r="A53" s="81" t="str">
        <f>HYPERLINK("#'Constants - Fertiliser'!A1", "Constants - Fertiliser")</f>
        <v>Constants - Fertiliser</v>
      </c>
      <c r="D53" s="1" t="str" cm="1">
        <f t="array" ref="D53">Common_InputFunctions.Utility_DisplayArrayInTable(Fertiliser_SourceData.Fertiliser_FracGASF_Data(), Table_SourceData_Fertiliser_FracGASF[[#Headers],[Fertiliser type f]], 0)</f>
        <v>Nitrate-based fertilisers</v>
      </c>
      <c r="E53" s="19" cm="1">
        <f t="array" ref="E53">Common_InputFunctions.Utility_DisplayArrayInTable(Fertiliser_SourceData.Fertiliser_FracGASF_Data(), Table_SourceData_Fertiliser_FracGASF[[#Headers],[Fertiliser type f]], 0)</f>
        <v>0.01</v>
      </c>
      <c r="G53" s="154"/>
    </row>
    <row r="54" spans="1:8" ht="20.100000000000001" customHeight="1" x14ac:dyDescent="0.2">
      <c r="A54" s="5" t="str">
        <f>HYPERLINK("#'Constants - Fuel'!A1", "Constants - Fuel")</f>
        <v>Constants - Fuel</v>
      </c>
      <c r="D54" s="1" t="str" cm="1">
        <f t="array" ref="D54">Common_InputFunctions.Utility_DisplayArrayInTable(Fertiliser_SourceData.Fertiliser_FracGASF_Data(), Table_SourceData_Fertiliser_FracGASF[[#Headers],[Fertiliser type f]], 0)</f>
        <v>Ammonium-nitrate based fertilisers</v>
      </c>
      <c r="E54" s="19" cm="1">
        <f t="array" ref="E54">Common_InputFunctions.Utility_DisplayArrayInTable(Fertiliser_SourceData.Fertiliser_FracGASF_Data(), Table_SourceData_Fertiliser_FracGASF[[#Headers],[Fertiliser type f]], 0)</f>
        <v>0.05</v>
      </c>
      <c r="G54" s="154"/>
      <c r="H54" s="154"/>
    </row>
    <row r="55" spans="1:8" ht="20.100000000000001" customHeight="1" x14ac:dyDescent="0.2">
      <c r="A55" s="5" t="str">
        <f>HYPERLINK("#'Constants - Scope 3'!A1", "Constants - Scope 3")</f>
        <v>Constants - Scope 3</v>
      </c>
      <c r="D55" s="1" t="str" cm="1">
        <f t="array" ref="D55">Common_InputFunctions.Utility_DisplayArrayInTable(Fertiliser_SourceData.Fertiliser_FracGASF_Data(), Table_SourceData_Fertiliser_FracGASF[[#Headers],[Fertiliser type f]], 0)</f>
        <v>Other fertilisers</v>
      </c>
      <c r="E55" s="19" cm="1">
        <f t="array" ref="E55">Common_InputFunctions.Utility_DisplayArrayInTable(Fertiliser_SourceData.Fertiliser_FracGASF_Data(), Table_SourceData_Fertiliser_FracGASF[[#Headers],[Fertiliser type f]], 0)</f>
        <v>0.11</v>
      </c>
      <c r="G55" s="154"/>
      <c r="H55" s="154"/>
    </row>
    <row r="56" spans="1:8" ht="20.100000000000001" customHeight="1" x14ac:dyDescent="0.2">
      <c r="A56" s="5" t="str">
        <f>HYPERLINK("#'Constants - Solid Waste'!A1", "Constants - Solid Waste")</f>
        <v>Constants - Solid Waste</v>
      </c>
    </row>
    <row r="57" spans="1:8" ht="20.100000000000001" customHeight="1" x14ac:dyDescent="0.2">
      <c r="A57" s="5" t="str">
        <f>HYPERLINK("#'Constants - Common'!A1", "Constants - Common")</f>
        <v>Constants - Common</v>
      </c>
    </row>
    <row r="58" spans="1:8" ht="20.100000000000001" customHeight="1" x14ac:dyDescent="0.2">
      <c r="D58" s="2" t="str" cm="1">
        <f t="array" ref="D58">Fertiliser_SourceData.Fertiliser_EFUreaCO2_Title()</f>
        <v>Emission factor for carbon emissions from urea application</v>
      </c>
    </row>
    <row r="59" spans="1:8" ht="20.100000000000001" customHeight="1" x14ac:dyDescent="0.2">
      <c r="D59" s="17" t="str" cm="1">
        <f t="array" ref="D59">Fertiliser_SourceData.Fertiliser_EFUreaCO2_Source()</f>
        <v>VEERG 2026: 5.1.2.2 Constant Parameters</v>
      </c>
    </row>
    <row r="60" spans="1:8" ht="20.100000000000001" customHeight="1" x14ac:dyDescent="0.2">
      <c r="D60" s="75"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3" spans="1:8" ht="20.100000000000001" customHeight="1" x14ac:dyDescent="0.2">
      <c r="D63" s="2" t="str" cm="1">
        <f t="array" ref="D63">Fertiliser_SourceData.Fertiliser_LimeDolomiteGypsumConstants_Title()</f>
        <v>Constants for lime, dolomite and gypsum</v>
      </c>
    </row>
    <row r="64" spans="1:8" ht="20.100000000000001" customHeight="1" x14ac:dyDescent="0.2">
      <c r="D64" s="17" t="str" cm="1">
        <f t="array" ref="D64">Fertiliser_SourceData.Fertiliser_LimeDolomiteGypsumConstants_Source()</f>
        <v>VEERG 2026: 5.3.2.3 Constant Parameters</v>
      </c>
    </row>
    <row r="65" spans="1:6" ht="20.100000000000001" customHeight="1" x14ac:dyDescent="0.2">
      <c r="D65" s="19" t="s">
        <v>810</v>
      </c>
      <c r="E65" s="19" t="s">
        <v>858</v>
      </c>
      <c r="F65" s="19" t="s">
        <v>786</v>
      </c>
    </row>
    <row r="66" spans="1:6" ht="20.100000000000001" customHeight="1" x14ac:dyDescent="0.2">
      <c r="D66" s="19" t="str" cm="1">
        <f t="array" ref="D66">Common_InputFunctions.Utility_DisplayArrayInTable(Fertiliser_SourceData.Fertiliser_LimeDolomiteGypsumConstants_Data(), Table_SourceData_Fertiliser_LimeDolomiteConstants[[#Headers],[Element]], 0)</f>
        <v>Lime (Calcium carbonate)</v>
      </c>
      <c r="E66" s="19" cm="1">
        <f t="array" ref="E66">Common_InputFunctions.Utility_DisplayArrayInTable(Fertiliser_SourceData.Fertiliser_LimeDolomiteGypsumConstants_Data(), Table_SourceData_Fertiliser_LimeDolomiteConstants[[#Headers],[Element]], 0)</f>
        <v>0.9</v>
      </c>
      <c r="F66" s="19" cm="1">
        <f t="array" ref="F66">Common_InputFunctions.Utility_DisplayArrayInTable(Fertiliser_SourceData.Fertiliser_LimeDolomiteGypsumConstants_Data(), Table_SourceData_Fertiliser_LimeDolomiteConstants[[#Headers],[Element]], 0)</f>
        <v>0.12</v>
      </c>
    </row>
    <row r="67" spans="1:6" ht="20.100000000000001" customHeight="1" x14ac:dyDescent="0.2">
      <c r="D67" s="1" t="str" cm="1">
        <f t="array" ref="D67">Common_InputFunctions.Utility_DisplayArrayInTable(Fertiliser_SourceData.Fertiliser_LimeDolomiteGypsumConstants_Data(), Table_SourceData_Fertiliser_LimeDolomiteConstants[[#Headers],[Element]], 0)</f>
        <v>Dolomite (Magnesium carbonate)</v>
      </c>
      <c r="E67" s="19" cm="1">
        <f t="array" ref="E67">Common_InputFunctions.Utility_DisplayArrayInTable(Fertiliser_SourceData.Fertiliser_LimeDolomiteGypsumConstants_Data(), Table_SourceData_Fertiliser_LimeDolomiteConstants[[#Headers],[Element]], 0)</f>
        <v>0.95</v>
      </c>
      <c r="F67" s="19" cm="1">
        <f t="array" ref="F67">Common_InputFunctions.Utility_DisplayArrayInTable(Fertiliser_SourceData.Fertiliser_LimeDolomiteGypsumConstants_Data(), Table_SourceData_Fertiliser_LimeDolomiteConstants[[#Headers],[Element]], 0)</f>
        <v>0.13</v>
      </c>
    </row>
    <row r="68" spans="1:6" ht="20.100000000000001" customHeight="1" x14ac:dyDescent="0.2">
      <c r="A68" s="79" t="str">
        <f>HYPERLINK("#A1", "▲ Back to top")</f>
        <v>▲ Back to top</v>
      </c>
      <c r="D68" s="1" t="str" cm="1">
        <f t="array" ref="D68">Common_InputFunctions.Utility_DisplayArrayInTable(Fertiliser_SourceData.Fertiliser_LimeDolomiteGypsumConstants_Data(), Table_SourceData_Fertiliser_LimeDolomiteConstants[[#Headers],[Element]], 0)</f>
        <v>Gypsum</v>
      </c>
      <c r="E68" s="19" cm="1">
        <f t="array" ref="E68">Common_InputFunctions.Utility_DisplayArrayInTable(Fertiliser_SourceData.Fertiliser_LimeDolomiteGypsumConstants_Data(), Table_SourceData_Fertiliser_LimeDolomiteConstants[[#Headers],[Element]], 0)</f>
        <v>0</v>
      </c>
      <c r="F68" s="19" cm="1">
        <f t="array" ref="F68">Common_InputFunctions.Utility_DisplayArrayInTable(Fertiliser_SourceData.Fertiliser_LimeDolomiteGypsumConstants_Data(), Table_SourceData_Fertiliser_LimeDolomiteConstants[[#Headers],[Element]], 0)</f>
        <v>0</v>
      </c>
    </row>
    <row r="71" spans="1:6" ht="20.100000000000001" customHeight="1" x14ac:dyDescent="0.2">
      <c r="D71" s="2" t="str" cm="1">
        <f t="array" ref="D71">Fertiliser_SourceData.Fertiliser_FracGASMSoil_Title()</f>
        <v>Fraction of organic fertiliser that volatilises as NH3 and NOx</v>
      </c>
    </row>
    <row r="72" spans="1:6" ht="20.100000000000001" customHeight="1" x14ac:dyDescent="0.2">
      <c r="D72" s="17" t="str" cm="1">
        <f t="array" ref="D72">Fertiliser_SourceData.Fertiliser_FracGASMSoil_Source()</f>
        <v>VEERG 2026: 5.4.2.3 Constant Parameters</v>
      </c>
    </row>
    <row r="73" spans="1:6" ht="20.100000000000001" customHeight="1" x14ac:dyDescent="0.2">
      <c r="D73" s="75"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6" spans="1:6" ht="20.100000000000001" customHeight="1" x14ac:dyDescent="0.2">
      <c r="D76" s="2" t="str" cm="1">
        <f t="array" ref="D76">Fertiliser_SourceData.Fertiliser_FracLEACH_Title()</f>
        <v>Fraction of nitrogen that is lost through leaching and runoff</v>
      </c>
    </row>
    <row r="77" spans="1:6" ht="20.100000000000001" customHeight="1" x14ac:dyDescent="0.2">
      <c r="D77" s="17" t="str" cm="1">
        <f t="array" ref="D77">Fertiliser_SourceData.Fertiliser_FracLEACH_Source()</f>
        <v>VEERG 2026: 5.5.2.3 Constant Parameters</v>
      </c>
    </row>
    <row r="78" spans="1:6" ht="20.100000000000001" customHeight="1" x14ac:dyDescent="0.2">
      <c r="D78" s="75"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81" spans="4:39" ht="20.100000000000001" customHeight="1" x14ac:dyDescent="0.2">
      <c r="D81" s="2" t="str" cm="1">
        <f t="array" ref="D81">Fertiliser_SourceData.Fertiliser_EFLeach_Title()</f>
        <v>Emission factor for nitrogen leaching and runoff</v>
      </c>
    </row>
    <row r="82" spans="4:39" ht="20.100000000000001" customHeight="1" x14ac:dyDescent="0.2">
      <c r="D82" s="17" t="str" cm="1">
        <f t="array" ref="D82">Fertiliser_SourceData.Fertiliser_EFLeach_Source()</f>
        <v>VEERG 2026: 5.5.2.3 Constant Parameters</v>
      </c>
    </row>
    <row r="83" spans="4:39" ht="20.100000000000001" customHeight="1" x14ac:dyDescent="0.2">
      <c r="D83" s="75"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7" spans="4:39" ht="20.100000000000001" customHeight="1" x14ac:dyDescent="0.2">
      <c r="D87" s="2" t="s">
        <v>859</v>
      </c>
      <c r="E87" s="154"/>
      <c r="F87" s="154"/>
      <c r="G87" s="154"/>
      <c r="H87" s="154"/>
      <c r="I87" s="154"/>
      <c r="J87" s="154"/>
      <c r="K87" s="154"/>
      <c r="L87" s="154"/>
      <c r="N87" s="154"/>
      <c r="O87" s="154"/>
      <c r="P87" s="154"/>
      <c r="Q87" s="154"/>
      <c r="R87" s="154"/>
      <c r="S87" s="154"/>
      <c r="T87" s="154"/>
      <c r="U87" s="154"/>
    </row>
    <row r="88" spans="4:39" ht="20.100000000000001" customHeight="1" x14ac:dyDescent="0.2">
      <c r="D88" s="154"/>
    </row>
    <row r="89" spans="4:39" ht="20.100000000000001" customHeight="1" x14ac:dyDescent="0.2">
      <c r="D89" s="236" t="s">
        <v>860</v>
      </c>
      <c r="E89" s="19" t="s">
        <v>132</v>
      </c>
      <c r="F89" s="19" t="s">
        <v>118</v>
      </c>
      <c r="G89" s="196" t="s">
        <v>695</v>
      </c>
      <c r="H89" s="196" t="s">
        <v>861</v>
      </c>
      <c r="I89" s="196" t="s">
        <v>712</v>
      </c>
      <c r="J89" s="196" t="s">
        <v>713</v>
      </c>
      <c r="K89" s="196" t="s">
        <v>862</v>
      </c>
      <c r="L89" s="196" t="s">
        <v>863</v>
      </c>
      <c r="M89" s="196" t="s">
        <v>864</v>
      </c>
      <c r="N89" s="196" t="s">
        <v>865</v>
      </c>
      <c r="O89" s="196" t="s">
        <v>697</v>
      </c>
      <c r="P89" s="196" t="s">
        <v>698</v>
      </c>
      <c r="Q89" s="19" t="s">
        <v>699</v>
      </c>
      <c r="R89" s="19" t="s">
        <v>700</v>
      </c>
      <c r="S89" s="19" t="s">
        <v>701</v>
      </c>
      <c r="T89" s="19" t="s">
        <v>702</v>
      </c>
      <c r="U89" s="196" t="s">
        <v>703</v>
      </c>
      <c r="V89" s="196" t="s">
        <v>704</v>
      </c>
      <c r="W89" s="19" t="s">
        <v>705</v>
      </c>
      <c r="X89" s="196" t="s">
        <v>706</v>
      </c>
      <c r="Y89" s="196" t="s">
        <v>707</v>
      </c>
      <c r="Z89" s="196" t="s">
        <v>708</v>
      </c>
      <c r="AA89" s="196" t="s">
        <v>866</v>
      </c>
      <c r="AB89" s="196" t="s">
        <v>867</v>
      </c>
      <c r="AC89" s="19" t="s">
        <v>868</v>
      </c>
      <c r="AD89" s="19" t="s">
        <v>869</v>
      </c>
      <c r="AE89" s="19" t="s">
        <v>870</v>
      </c>
      <c r="AF89" s="19" t="s">
        <v>871</v>
      </c>
      <c r="AG89" s="19" t="s">
        <v>872</v>
      </c>
      <c r="AH89" s="19" t="s">
        <v>873</v>
      </c>
      <c r="AK89" s="1"/>
      <c r="AL89" s="1"/>
      <c r="AM89" s="1"/>
    </row>
    <row r="90" spans="4:39" ht="20.100000000000001" customHeight="1" x14ac:dyDescent="0.2">
      <c r="D90" s="148" t="str" cm="1">
        <f t="array" ref="D90">Common_InputFunctions.Utility_DisplayArrayInTable(Fertiliser_SourceData.Fertiliser_Products_Data1(), FertiliserProducts[[#Headers],[Company]],1)</f>
        <v>Campbells fertilisers Australia</v>
      </c>
      <c r="E90" s="148" t="str" cm="1">
        <f t="array" ref="E90">Common_InputFunctions.Utility_DisplayArrayInTable(Fertiliser_SourceData.Fertiliser_Products_Data1(), FertiliserProducts[[#Headers],[Company]],1)</f>
        <v>Aqua Finish</v>
      </c>
      <c r="F90" s="148" t="str" cm="1">
        <f t="array" ref="F90">Common_InputFunctions.Utility_DisplayArrayInTable(Fertiliser_SourceData.Fertiliser_Products_Data1(), FertiliserProducts[[#Headers],[Company]],1)</f>
        <v>L</v>
      </c>
      <c r="G90" s="148" cm="1">
        <f t="array" ref="G90">Common_InputFunctions.Utility_DisplayArrayInTable(Fertiliser_SourceData.Fertiliser_Products_Data1(), FertiliserProducts[[#Headers],[Company]],1)</f>
        <v>1.26</v>
      </c>
      <c r="H90" s="148" t="str" cm="1">
        <f t="array" ref="H90">Common_InputFunctions.Utility_DisplayArrayInTable(Fertiliser_SourceData.Fertiliser_Products_Data1(), FertiliserProducts[[#Headers],[Company]],1)</f>
        <v/>
      </c>
      <c r="I90" s="148" t="str" cm="1">
        <f t="array" ref="I90">Common_InputFunctions.Utility_DisplayArrayInTable(Fertiliser_SourceData.Fertiliser_Products_Data1(), FertiliserProducts[[#Headers],[Company]],1)</f>
        <v/>
      </c>
      <c r="J90" s="148" t="str" cm="1">
        <f t="array" ref="J90">Common_InputFunctions.Utility_DisplayArrayInTable(Fertiliser_SourceData.Fertiliser_Products_Data1(), FertiliserProducts[[#Headers],[Company]],1)</f>
        <v/>
      </c>
      <c r="K90" s="148" cm="1">
        <f t="array" ref="K90">Common_InputFunctions.Utility_DisplayArrayInTable(Fertiliser_SourceData.Fertiliser_Products_Data1(), FertiliserProducts[[#Headers],[Company]],1)</f>
        <v>2.6</v>
      </c>
      <c r="L90" s="148" cm="1">
        <f t="array" ref="L90">Common_InputFunctions.Utility_DisplayArrayInTable(Fertiliser_SourceData.Fertiliser_Products_Data1(), FertiliserProducts[[#Headers],[Company]],1)</f>
        <v>4</v>
      </c>
      <c r="M90" s="148" cm="1">
        <f t="array" ref="M90">Common_InputFunctions.Utility_DisplayArrayInTable(Fertiliser_SourceData.Fertiliser_Products_Data1(), FertiliserProducts[[#Headers],[Company]],1)</f>
        <v>22.5</v>
      </c>
      <c r="N90" s="148" t="str" cm="1">
        <f t="array" ref="N90">Common_InputFunctions.Utility_DisplayArrayInTable(Fertiliser_SourceData.Fertiliser_Products_Data1(), FertiliserProducts[[#Headers],[Company]],1)</f>
        <v/>
      </c>
      <c r="O90" s="148" t="str" cm="1">
        <f t="array" ref="O90">Common_InputFunctions.Utility_DisplayArrayInTable(Fertiliser_SourceData.Fertiliser_Products_Data1(), FertiliserProducts[[#Headers],[Company]],1)</f>
        <v>Potassium - Generic</v>
      </c>
      <c r="P90" s="148" cm="1">
        <f t="array" ref="P90">Common_InputFunctions.Utility_DisplayArrayInTable(Fertiliser_SourceData.Fertiliser_Products_Data1(), FertiliserProducts[[#Headers],[Company]],1)</f>
        <v>0.22500000000000001</v>
      </c>
      <c r="Q90" s="148" t="str" cm="1">
        <f t="array" ref="Q90">Common_InputFunctions.Utility_DisplayArrayInTable(Fertiliser_SourceData.Fertiliser_Products_Data1(), FertiliserProducts[[#Headers],[Company]],1)</f>
        <v>Phosphorus - Generic</v>
      </c>
      <c r="R90" s="148" cm="1">
        <f t="array" ref="R90">Common_InputFunctions.Utility_DisplayArrayInTable(Fertiliser_SourceData.Fertiliser_Products_Data1(), FertiliserProducts[[#Headers],[Company]],1)</f>
        <v>0.04</v>
      </c>
      <c r="S90" s="148" t="str" cm="1">
        <f t="array" ref="S90">Common_InputFunctions.Utility_DisplayArrayInTable(Fertiliser_SourceData.Fertiliser_Products_Data1(), FertiliserProducts[[#Headers],[Company]],1)</f>
        <v>Nitrogen - Generic</v>
      </c>
      <c r="T90" s="148" cm="1">
        <f t="array" ref="T90">Common_InputFunctions.Utility_DisplayArrayInTable(Fertiliser_SourceData.Fertiliser_Products_Data1(), FertiliserProducts[[#Headers],[Company]],1)</f>
        <v>2.5999999999999999E-2</v>
      </c>
      <c r="U90" s="148" t="str" cm="1">
        <f t="array" ref="U90">Common_InputFunctions.Utility_DisplayArrayInTable(Fertiliser_SourceData.Fertiliser_Products_Data1(), FertiliserProducts[[#Headers],[Company]],1)</f>
        <v/>
      </c>
      <c r="V90" s="148" t="str" cm="1">
        <f t="array" ref="V90">Common_InputFunctions.Utility_DisplayArrayInTable(Fertiliser_SourceData.Fertiliser_Products_Data1(), FertiliserProducts[[#Headers],[Company]],1)</f>
        <v/>
      </c>
      <c r="W90" s="148" t="str" cm="1">
        <f t="array" ref="W90">Common_InputFunctions.Utility_DisplayArrayInTable(Fertiliser_SourceData.Fertiliser_Products_Data1(), FertiliserProducts[[#Headers],[Company]],1)</f>
        <v/>
      </c>
      <c r="X90" s="148" t="str" cm="1">
        <f t="array" ref="X90">Common_InputFunctions.Utility_DisplayArrayInTable(Fertiliser_SourceData.Fertiliser_Products_Data1(), FertiliserProducts[[#Headers],[Company]],1)</f>
        <v/>
      </c>
      <c r="Y90" s="148" t="str" cm="1">
        <f t="array" ref="Y90">Common_InputFunctions.Utility_DisplayArrayInTable(Fertiliser_SourceData.Fertiliser_Products_Data1(), FertiliserProducts[[#Headers],[Company]],1)</f>
        <v/>
      </c>
      <c r="Z90" s="148" t="str" cm="1">
        <f t="array" ref="Z90">Common_InputFunctions.Utility_DisplayArrayInTable(Fertiliser_SourceData.Fertiliser_Products_Data1(), FertiliserProducts[[#Headers],[Company]],1)</f>
        <v/>
      </c>
      <c r="AA90" s="148" t="str" cm="1">
        <f t="array" ref="AA90">Common_InputFunctions.Utility_DisplayArrayInTable(Fertiliser_SourceData.Fertiliser_Products_Data1(), FertiliserProducts[[#Headers],[Company]],1)</f>
        <v/>
      </c>
      <c r="AB90" s="148" t="str" cm="1">
        <f t="array" ref="AB90">Common_InputFunctions.Utility_DisplayArrayInTable(Fertiliser_SourceData.Fertiliser_Products_Data1(), FertiliserProducts[[#Headers],[Company]],1)</f>
        <v/>
      </c>
      <c r="AC90" s="148" t="str" cm="1">
        <f t="array" ref="AC90">Common_InputFunctions.Utility_DisplayArrayInTable(Fertiliser_SourceData.Fertiliser_Products_Data1(), FertiliserProducts[[#Headers],[Company]],1)</f>
        <v/>
      </c>
      <c r="AD90" s="148" t="str" cm="1">
        <f t="array" ref="AD90">Common_InputFunctions.Utility_DisplayArrayInTable(Fertiliser_SourceData.Fertiliser_Products_Data1(), FertiliserProducts[[#Headers],[Company]],1)</f>
        <v/>
      </c>
      <c r="AE90" s="148" t="str" cm="1">
        <f t="array" ref="AE90">Common_InputFunctions.Utility_DisplayArrayInTable(Fertiliser_SourceData.Fertiliser_Products_Data1(), FertiliserProducts[[#Headers],[Company]],1)</f>
        <v/>
      </c>
      <c r="AF90" s="148" t="str" cm="1">
        <f t="array" ref="AF90">Common_InputFunctions.Utility_DisplayArrayInTable(Fertiliser_SourceData.Fertiliser_Products_Data1(), FertiliserProducts[[#Headers],[Company]],1)</f>
        <v/>
      </c>
      <c r="AG90" s="148" t="str" cm="1">
        <f t="array" ref="AG90">Common_InputFunctions.Utility_DisplayArrayInTable(Fertiliser_SourceData.Fertiliser_Products_Data1(), FertiliserProducts[[#Headers],[Company]],1)</f>
        <v/>
      </c>
      <c r="AH90" s="148" t="str" cm="1">
        <f t="array" ref="AH90">Common_InputFunctions.Utility_DisplayArrayInTable(Fertiliser_SourceData.Fertiliser_Products_Data1(), FertiliserProducts[[#Headers],[Company]],1)</f>
        <v/>
      </c>
      <c r="AK90" s="1"/>
      <c r="AL90" s="1"/>
      <c r="AM90" s="1"/>
    </row>
    <row r="91" spans="4:39" ht="20.100000000000001" customHeight="1" x14ac:dyDescent="0.2">
      <c r="D91" s="148" t="str" cm="1">
        <f t="array" ref="D91">Common_InputFunctions.Utility_DisplayArrayInTable(Fertiliser_SourceData.Fertiliser_Products_Data1(), FertiliserProducts[[#Headers],[Company]],1)</f>
        <v>Campbells fertilisers Australia</v>
      </c>
      <c r="E91" s="148" t="str" cm="1">
        <f t="array" ref="E91">Common_InputFunctions.Utility_DisplayArrayInTable(Fertiliser_SourceData.Fertiliser_Products_Data1(), FertiliserProducts[[#Headers],[Company]],1)</f>
        <v>Aqua Grow</v>
      </c>
      <c r="F91" s="148" t="str" cm="1">
        <f t="array" ref="F91">Common_InputFunctions.Utility_DisplayArrayInTable(Fertiliser_SourceData.Fertiliser_Products_Data1(), FertiliserProducts[[#Headers],[Company]],1)</f>
        <v>L</v>
      </c>
      <c r="G91" s="148" cm="1">
        <f t="array" ref="G91">Common_InputFunctions.Utility_DisplayArrayInTable(Fertiliser_SourceData.Fertiliser_Products_Data1(), FertiliserProducts[[#Headers],[Company]],1)</f>
        <v>1.26</v>
      </c>
      <c r="H91" s="148" t="str" cm="1">
        <f t="array" ref="H91">Common_InputFunctions.Utility_DisplayArrayInTable(Fertiliser_SourceData.Fertiliser_Products_Data1(), FertiliserProducts[[#Headers],[Company]],1)</f>
        <v/>
      </c>
      <c r="I91" s="148" t="str" cm="1">
        <f t="array" ref="I91">Common_InputFunctions.Utility_DisplayArrayInTable(Fertiliser_SourceData.Fertiliser_Products_Data1(), FertiliserProducts[[#Headers],[Company]],1)</f>
        <v/>
      </c>
      <c r="J91" s="148" t="str" cm="1">
        <f t="array" ref="J91">Common_InputFunctions.Utility_DisplayArrayInTable(Fertiliser_SourceData.Fertiliser_Products_Data1(), FertiliserProducts[[#Headers],[Company]],1)</f>
        <v/>
      </c>
      <c r="K91" s="148" cm="1">
        <f t="array" ref="K91">Common_InputFunctions.Utility_DisplayArrayInTable(Fertiliser_SourceData.Fertiliser_Products_Data1(), FertiliserProducts[[#Headers],[Company]],1)</f>
        <v>9.6</v>
      </c>
      <c r="L91" s="148" cm="1">
        <f t="array" ref="L91">Common_InputFunctions.Utility_DisplayArrayInTable(Fertiliser_SourceData.Fertiliser_Products_Data1(), FertiliserProducts[[#Headers],[Company]],1)</f>
        <v>5</v>
      </c>
      <c r="M91" s="148" cm="1">
        <f t="array" ref="M91">Common_InputFunctions.Utility_DisplayArrayInTable(Fertiliser_SourceData.Fertiliser_Products_Data1(), FertiliserProducts[[#Headers],[Company]],1)</f>
        <v>10.5</v>
      </c>
      <c r="N91" s="148" t="str" cm="1">
        <f t="array" ref="N91">Common_InputFunctions.Utility_DisplayArrayInTable(Fertiliser_SourceData.Fertiliser_Products_Data1(), FertiliserProducts[[#Headers],[Company]],1)</f>
        <v/>
      </c>
      <c r="O91" s="148" t="str" cm="1">
        <f t="array" ref="O91">Common_InputFunctions.Utility_DisplayArrayInTable(Fertiliser_SourceData.Fertiliser_Products_Data1(), FertiliserProducts[[#Headers],[Company]],1)</f>
        <v>Potassium - Generic</v>
      </c>
      <c r="P91" s="148" cm="1">
        <f t="array" ref="P91">Common_InputFunctions.Utility_DisplayArrayInTable(Fertiliser_SourceData.Fertiliser_Products_Data1(), FertiliserProducts[[#Headers],[Company]],1)</f>
        <v>0.105</v>
      </c>
      <c r="Q91" s="148" t="str" cm="1">
        <f t="array" ref="Q91">Common_InputFunctions.Utility_DisplayArrayInTable(Fertiliser_SourceData.Fertiliser_Products_Data1(), FertiliserProducts[[#Headers],[Company]],1)</f>
        <v>Nitrogen - Generic</v>
      </c>
      <c r="R91" s="148" cm="1">
        <f t="array" ref="R91">Common_InputFunctions.Utility_DisplayArrayInTable(Fertiliser_SourceData.Fertiliser_Products_Data1(), FertiliserProducts[[#Headers],[Company]],1)</f>
        <v>9.6000000000000002E-2</v>
      </c>
      <c r="S91" s="148" t="str" cm="1">
        <f t="array" ref="S91">Common_InputFunctions.Utility_DisplayArrayInTable(Fertiliser_SourceData.Fertiliser_Products_Data1(), FertiliserProducts[[#Headers],[Company]],1)</f>
        <v>Phosphorus - Generic</v>
      </c>
      <c r="T91" s="148" cm="1">
        <f t="array" ref="T91">Common_InputFunctions.Utility_DisplayArrayInTable(Fertiliser_SourceData.Fertiliser_Products_Data1(), FertiliserProducts[[#Headers],[Company]],1)</f>
        <v>0.05</v>
      </c>
      <c r="U91" s="148" t="str" cm="1">
        <f t="array" ref="U91">Common_InputFunctions.Utility_DisplayArrayInTable(Fertiliser_SourceData.Fertiliser_Products_Data1(), FertiliserProducts[[#Headers],[Company]],1)</f>
        <v/>
      </c>
      <c r="V91" s="148" t="str" cm="1">
        <f t="array" ref="V91">Common_InputFunctions.Utility_DisplayArrayInTable(Fertiliser_SourceData.Fertiliser_Products_Data1(), FertiliserProducts[[#Headers],[Company]],1)</f>
        <v/>
      </c>
      <c r="W91" s="148" t="str" cm="1">
        <f t="array" ref="W91">Common_InputFunctions.Utility_DisplayArrayInTable(Fertiliser_SourceData.Fertiliser_Products_Data1(), FertiliserProducts[[#Headers],[Company]],1)</f>
        <v/>
      </c>
      <c r="X91" s="148" t="str" cm="1">
        <f t="array" ref="X91">Common_InputFunctions.Utility_DisplayArrayInTable(Fertiliser_SourceData.Fertiliser_Products_Data1(), FertiliserProducts[[#Headers],[Company]],1)</f>
        <v/>
      </c>
      <c r="Y91" s="148" t="str" cm="1">
        <f t="array" ref="Y91">Common_InputFunctions.Utility_DisplayArrayInTable(Fertiliser_SourceData.Fertiliser_Products_Data1(), FertiliserProducts[[#Headers],[Company]],1)</f>
        <v/>
      </c>
      <c r="Z91" s="148" t="str" cm="1">
        <f t="array" ref="Z91">Common_InputFunctions.Utility_DisplayArrayInTable(Fertiliser_SourceData.Fertiliser_Products_Data1(), FertiliserProducts[[#Headers],[Company]],1)</f>
        <v/>
      </c>
      <c r="AA91" s="148" t="str" cm="1">
        <f t="array" ref="AA91">Common_InputFunctions.Utility_DisplayArrayInTable(Fertiliser_SourceData.Fertiliser_Products_Data1(), FertiliserProducts[[#Headers],[Company]],1)</f>
        <v/>
      </c>
      <c r="AB91" s="148" t="str" cm="1">
        <f t="array" ref="AB91">Common_InputFunctions.Utility_DisplayArrayInTable(Fertiliser_SourceData.Fertiliser_Products_Data1(), FertiliserProducts[[#Headers],[Company]],1)</f>
        <v/>
      </c>
      <c r="AC91" s="148" t="str" cm="1">
        <f t="array" ref="AC91">Common_InputFunctions.Utility_DisplayArrayInTable(Fertiliser_SourceData.Fertiliser_Products_Data1(), FertiliserProducts[[#Headers],[Company]],1)</f>
        <v/>
      </c>
      <c r="AD91" s="148" t="str" cm="1">
        <f t="array" ref="AD91">Common_InputFunctions.Utility_DisplayArrayInTable(Fertiliser_SourceData.Fertiliser_Products_Data1(), FertiliserProducts[[#Headers],[Company]],1)</f>
        <v/>
      </c>
      <c r="AE91" s="148" t="str" cm="1">
        <f t="array" ref="AE91">Common_InputFunctions.Utility_DisplayArrayInTable(Fertiliser_SourceData.Fertiliser_Products_Data1(), FertiliserProducts[[#Headers],[Company]],1)</f>
        <v/>
      </c>
      <c r="AF91" s="148" t="str" cm="1">
        <f t="array" ref="AF91">Common_InputFunctions.Utility_DisplayArrayInTable(Fertiliser_SourceData.Fertiliser_Products_Data1(), FertiliserProducts[[#Headers],[Company]],1)</f>
        <v/>
      </c>
      <c r="AG91" s="148" t="str" cm="1">
        <f t="array" ref="AG91">Common_InputFunctions.Utility_DisplayArrayInTable(Fertiliser_SourceData.Fertiliser_Products_Data1(), FertiliserProducts[[#Headers],[Company]],1)</f>
        <v/>
      </c>
      <c r="AH91" s="148" t="str" cm="1">
        <f t="array" ref="AH91">Common_InputFunctions.Utility_DisplayArrayInTable(Fertiliser_SourceData.Fertiliser_Products_Data1(), FertiliserProducts[[#Headers],[Company]],1)</f>
        <v/>
      </c>
      <c r="AK91" s="1"/>
      <c r="AL91" s="1"/>
      <c r="AM91" s="1"/>
    </row>
    <row r="92" spans="4:39" ht="20.100000000000001" customHeight="1" x14ac:dyDescent="0.2">
      <c r="D92" s="148" t="str" cm="1">
        <f t="array" ref="D92">Common_InputFunctions.Utility_DisplayArrayInTable(Fertiliser_SourceData.Fertiliser_Products_Data1(), FertiliserProducts[[#Headers],[Company]],1)</f>
        <v>Campbells fertilisers Australia</v>
      </c>
      <c r="E92" s="148" t="str" cm="1">
        <f t="array" ref="E92">Common_InputFunctions.Utility_DisplayArrayInTable(Fertiliser_SourceData.Fertiliser_Products_Data1(), FertiliserProducts[[#Headers],[Company]],1)</f>
        <v>Aqua Nitro AN</v>
      </c>
      <c r="F92" s="148" t="str" cm="1">
        <f t="array" ref="F92">Common_InputFunctions.Utility_DisplayArrayInTable(Fertiliser_SourceData.Fertiliser_Products_Data1(), FertiliserProducts[[#Headers],[Company]],1)</f>
        <v>L</v>
      </c>
      <c r="G92" s="148" cm="1">
        <f t="array" ref="G92">Common_InputFunctions.Utility_DisplayArrayInTable(Fertiliser_SourceData.Fertiliser_Products_Data1(), FertiliserProducts[[#Headers],[Company]],1)</f>
        <v>1.24</v>
      </c>
      <c r="H92" s="148" t="str" cm="1">
        <f t="array" ref="H92">Common_InputFunctions.Utility_DisplayArrayInTable(Fertiliser_SourceData.Fertiliser_Products_Data1(), FertiliserProducts[[#Headers],[Company]],1)</f>
        <v/>
      </c>
      <c r="I92" s="148" t="str" cm="1">
        <f t="array" ref="I92">Common_InputFunctions.Utility_DisplayArrayInTable(Fertiliser_SourceData.Fertiliser_Products_Data1(), FertiliserProducts[[#Headers],[Company]],1)</f>
        <v/>
      </c>
      <c r="J92" s="148" t="str" cm="1">
        <f t="array" ref="J92">Common_InputFunctions.Utility_DisplayArrayInTable(Fertiliser_SourceData.Fertiliser_Products_Data1(), FertiliserProducts[[#Headers],[Company]],1)</f>
        <v/>
      </c>
      <c r="K92" s="148" cm="1">
        <f t="array" ref="K92">Common_InputFunctions.Utility_DisplayArrayInTable(Fertiliser_SourceData.Fertiliser_Products_Data1(), FertiliserProducts[[#Headers],[Company]],1)</f>
        <v>22.3</v>
      </c>
      <c r="L92" s="148" t="str" cm="1">
        <f t="array" ref="L92">Common_InputFunctions.Utility_DisplayArrayInTable(Fertiliser_SourceData.Fertiliser_Products_Data1(), FertiliserProducts[[#Headers],[Company]],1)</f>
        <v/>
      </c>
      <c r="M92" s="148" t="str" cm="1">
        <f t="array" ref="M92">Common_InputFunctions.Utility_DisplayArrayInTable(Fertiliser_SourceData.Fertiliser_Products_Data1(), FertiliserProducts[[#Headers],[Company]],1)</f>
        <v/>
      </c>
      <c r="N92" s="148" t="str" cm="1">
        <f t="array" ref="N92">Common_InputFunctions.Utility_DisplayArrayInTable(Fertiliser_SourceData.Fertiliser_Products_Data1(), FertiliserProducts[[#Headers],[Company]],1)</f>
        <v/>
      </c>
      <c r="O92" s="148" t="str" cm="1">
        <f t="array" ref="O92">Common_InputFunctions.Utility_DisplayArrayInTable(Fertiliser_SourceData.Fertiliser_Products_Data1(), FertiliserProducts[[#Headers],[Company]],1)</f>
        <v>Nitrogen - Ammoniacal</v>
      </c>
      <c r="P92" s="148" cm="1">
        <f t="array" ref="P92">Common_InputFunctions.Utility_DisplayArrayInTable(Fertiliser_SourceData.Fertiliser_Products_Data1(), FertiliserProducts[[#Headers],[Company]],1)</f>
        <v>0.223</v>
      </c>
      <c r="Q92" s="148" t="str" cm="1">
        <f t="array" ref="Q92">Common_InputFunctions.Utility_DisplayArrayInTable(Fertiliser_SourceData.Fertiliser_Products_Data1(), FertiliserProducts[[#Headers],[Company]],1)</f>
        <v/>
      </c>
      <c r="R92" s="148" t="str" cm="1">
        <f t="array" ref="R92">Common_InputFunctions.Utility_DisplayArrayInTable(Fertiliser_SourceData.Fertiliser_Products_Data1(), FertiliserProducts[[#Headers],[Company]],1)</f>
        <v/>
      </c>
      <c r="S92" s="148" t="str" cm="1">
        <f t="array" ref="S92">Common_InputFunctions.Utility_DisplayArrayInTable(Fertiliser_SourceData.Fertiliser_Products_Data1(), FertiliserProducts[[#Headers],[Company]],1)</f>
        <v/>
      </c>
      <c r="T92" s="148" t="str" cm="1">
        <f t="array" ref="T92">Common_InputFunctions.Utility_DisplayArrayInTable(Fertiliser_SourceData.Fertiliser_Products_Data1(), FertiliserProducts[[#Headers],[Company]],1)</f>
        <v/>
      </c>
      <c r="U92" s="148" t="str" cm="1">
        <f t="array" ref="U92">Common_InputFunctions.Utility_DisplayArrayInTable(Fertiliser_SourceData.Fertiliser_Products_Data1(), FertiliserProducts[[#Headers],[Company]],1)</f>
        <v/>
      </c>
      <c r="V92" s="148" t="str" cm="1">
        <f t="array" ref="V92">Common_InputFunctions.Utility_DisplayArrayInTable(Fertiliser_SourceData.Fertiliser_Products_Data1(), FertiliserProducts[[#Headers],[Company]],1)</f>
        <v/>
      </c>
      <c r="W92" s="148" t="str" cm="1">
        <f t="array" ref="W92">Common_InputFunctions.Utility_DisplayArrayInTable(Fertiliser_SourceData.Fertiliser_Products_Data1(), FertiliserProducts[[#Headers],[Company]],1)</f>
        <v/>
      </c>
      <c r="X92" s="148" t="str" cm="1">
        <f t="array" ref="X92">Common_InputFunctions.Utility_DisplayArrayInTable(Fertiliser_SourceData.Fertiliser_Products_Data1(), FertiliserProducts[[#Headers],[Company]],1)</f>
        <v/>
      </c>
      <c r="Y92" s="148" t="str" cm="1">
        <f t="array" ref="Y92">Common_InputFunctions.Utility_DisplayArrayInTable(Fertiliser_SourceData.Fertiliser_Products_Data1(), FertiliserProducts[[#Headers],[Company]],1)</f>
        <v/>
      </c>
      <c r="Z92" s="148" t="str" cm="1">
        <f t="array" ref="Z92">Common_InputFunctions.Utility_DisplayArrayInTable(Fertiliser_SourceData.Fertiliser_Products_Data1(), FertiliserProducts[[#Headers],[Company]],1)</f>
        <v/>
      </c>
      <c r="AA92" s="148" t="str" cm="1">
        <f t="array" ref="AA92">Common_InputFunctions.Utility_DisplayArrayInTable(Fertiliser_SourceData.Fertiliser_Products_Data1(), FertiliserProducts[[#Headers],[Company]],1)</f>
        <v/>
      </c>
      <c r="AB92" s="148" t="str" cm="1">
        <f t="array" ref="AB92">Common_InputFunctions.Utility_DisplayArrayInTable(Fertiliser_SourceData.Fertiliser_Products_Data1(), FertiliserProducts[[#Headers],[Company]],1)</f>
        <v/>
      </c>
      <c r="AC92" s="148" t="str" cm="1">
        <f t="array" ref="AC92">Common_InputFunctions.Utility_DisplayArrayInTable(Fertiliser_SourceData.Fertiliser_Products_Data1(), FertiliserProducts[[#Headers],[Company]],1)</f>
        <v/>
      </c>
      <c r="AD92" s="148" t="str" cm="1">
        <f t="array" ref="AD92">Common_InputFunctions.Utility_DisplayArrayInTable(Fertiliser_SourceData.Fertiliser_Products_Data1(), FertiliserProducts[[#Headers],[Company]],1)</f>
        <v/>
      </c>
      <c r="AE92" s="148" t="str" cm="1">
        <f t="array" ref="AE92">Common_InputFunctions.Utility_DisplayArrayInTable(Fertiliser_SourceData.Fertiliser_Products_Data1(), FertiliserProducts[[#Headers],[Company]],1)</f>
        <v/>
      </c>
      <c r="AF92" s="148" t="str" cm="1">
        <f t="array" ref="AF92">Common_InputFunctions.Utility_DisplayArrayInTable(Fertiliser_SourceData.Fertiliser_Products_Data1(), FertiliserProducts[[#Headers],[Company]],1)</f>
        <v/>
      </c>
      <c r="AG92" s="148" t="str" cm="1">
        <f t="array" ref="AG92">Common_InputFunctions.Utility_DisplayArrayInTable(Fertiliser_SourceData.Fertiliser_Products_Data1(), FertiliserProducts[[#Headers],[Company]],1)</f>
        <v/>
      </c>
      <c r="AH92" s="148" t="str" cm="1">
        <f t="array" ref="AH92">Common_InputFunctions.Utility_DisplayArrayInTable(Fertiliser_SourceData.Fertiliser_Products_Data1(), FertiliserProducts[[#Headers],[Company]],1)</f>
        <v/>
      </c>
      <c r="AK92" s="1"/>
      <c r="AL92" s="1"/>
      <c r="AM92" s="1"/>
    </row>
    <row r="93" spans="4:39" ht="20.100000000000001" customHeight="1" x14ac:dyDescent="0.2">
      <c r="D93" s="148" t="str" cm="1">
        <f t="array" ref="D93">Common_InputFunctions.Utility_DisplayArrayInTable(Fertiliser_SourceData.Fertiliser_Products_Data1(), FertiliserProducts[[#Headers],[Company]],1)</f>
        <v>Campbells fertilisers Australia</v>
      </c>
      <c r="E93" s="148" t="str" cm="1">
        <f t="array" ref="E93">Common_InputFunctions.Utility_DisplayArrayInTable(Fertiliser_SourceData.Fertiliser_Products_Data1(), FertiliserProducts[[#Headers],[Company]],1)</f>
        <v>Aqua NitroCal</v>
      </c>
      <c r="F93" s="148" t="str" cm="1">
        <f t="array" ref="F93">Common_InputFunctions.Utility_DisplayArrayInTable(Fertiliser_SourceData.Fertiliser_Products_Data1(), FertiliserProducts[[#Headers],[Company]],1)</f>
        <v>L</v>
      </c>
      <c r="G93" s="148" cm="1">
        <f t="array" ref="G93">Common_InputFunctions.Utility_DisplayArrayInTable(Fertiliser_SourceData.Fertiliser_Products_Data1(), FertiliserProducts[[#Headers],[Company]],1)</f>
        <v>1.5</v>
      </c>
      <c r="H93" s="148" t="str" cm="1">
        <f t="array" ref="H93">Common_InputFunctions.Utility_DisplayArrayInTable(Fertiliser_SourceData.Fertiliser_Products_Data1(), FertiliserProducts[[#Headers],[Company]],1)</f>
        <v/>
      </c>
      <c r="I93" s="148" t="str" cm="1">
        <f t="array" ref="I93">Common_InputFunctions.Utility_DisplayArrayInTable(Fertiliser_SourceData.Fertiliser_Products_Data1(), FertiliserProducts[[#Headers],[Company]],1)</f>
        <v/>
      </c>
      <c r="J93" s="148" t="str" cm="1">
        <f t="array" ref="J93">Common_InputFunctions.Utility_DisplayArrayInTable(Fertiliser_SourceData.Fertiliser_Products_Data1(), FertiliserProducts[[#Headers],[Company]],1)</f>
        <v/>
      </c>
      <c r="K93" s="148" cm="1">
        <f t="array" ref="K93">Common_InputFunctions.Utility_DisplayArrayInTable(Fertiliser_SourceData.Fertiliser_Products_Data1(), FertiliserProducts[[#Headers],[Company]],1)</f>
        <v>13.2</v>
      </c>
      <c r="L93" s="148" t="str" cm="1">
        <f t="array" ref="L93">Common_InputFunctions.Utility_DisplayArrayInTable(Fertiliser_SourceData.Fertiliser_Products_Data1(), FertiliserProducts[[#Headers],[Company]],1)</f>
        <v/>
      </c>
      <c r="M93" s="148" t="str" cm="1">
        <f t="array" ref="M93">Common_InputFunctions.Utility_DisplayArrayInTable(Fertiliser_SourceData.Fertiliser_Products_Data1(), FertiliserProducts[[#Headers],[Company]],1)</f>
        <v/>
      </c>
      <c r="N93" s="148" t="str" cm="1">
        <f t="array" ref="N93">Common_InputFunctions.Utility_DisplayArrayInTable(Fertiliser_SourceData.Fertiliser_Products_Data1(), FertiliserProducts[[#Headers],[Company]],1)</f>
        <v/>
      </c>
      <c r="O93" s="148" t="str" cm="1">
        <f t="array" ref="O93">Common_InputFunctions.Utility_DisplayArrayInTable(Fertiliser_SourceData.Fertiliser_Products_Data1(), FertiliserProducts[[#Headers],[Company]],1)</f>
        <v>Calcium</v>
      </c>
      <c r="P93" s="148" cm="1">
        <f t="array" ref="P93">Common_InputFunctions.Utility_DisplayArrayInTable(Fertiliser_SourceData.Fertiliser_Products_Data1(), FertiliserProducts[[#Headers],[Company]],1)</f>
        <v>0.16200000000000001</v>
      </c>
      <c r="Q93" s="148" t="str" cm="1">
        <f t="array" ref="Q93">Common_InputFunctions.Utility_DisplayArrayInTable(Fertiliser_SourceData.Fertiliser_Products_Data1(), FertiliserProducts[[#Headers],[Company]],1)</f>
        <v>Nitrogen - Nitrate</v>
      </c>
      <c r="R93" s="148" cm="1">
        <f t="array" ref="R93">Common_InputFunctions.Utility_DisplayArrayInTable(Fertiliser_SourceData.Fertiliser_Products_Data1(), FertiliserProducts[[#Headers],[Company]],1)</f>
        <v>0.13200000000000001</v>
      </c>
      <c r="S93" s="148" t="str" cm="1">
        <f t="array" ref="S93">Common_InputFunctions.Utility_DisplayArrayInTable(Fertiliser_SourceData.Fertiliser_Products_Data1(), FertiliserProducts[[#Headers],[Company]],1)</f>
        <v/>
      </c>
      <c r="T93" s="148" t="str" cm="1">
        <f t="array" ref="T93">Common_InputFunctions.Utility_DisplayArrayInTable(Fertiliser_SourceData.Fertiliser_Products_Data1(), FertiliserProducts[[#Headers],[Company]],1)</f>
        <v/>
      </c>
      <c r="U93" s="148" t="str" cm="1">
        <f t="array" ref="U93">Common_InputFunctions.Utility_DisplayArrayInTable(Fertiliser_SourceData.Fertiliser_Products_Data1(), FertiliserProducts[[#Headers],[Company]],1)</f>
        <v/>
      </c>
      <c r="V93" s="148" t="str" cm="1">
        <f t="array" ref="V93">Common_InputFunctions.Utility_DisplayArrayInTable(Fertiliser_SourceData.Fertiliser_Products_Data1(), FertiliserProducts[[#Headers],[Company]],1)</f>
        <v/>
      </c>
      <c r="W93" s="148" t="str" cm="1">
        <f t="array" ref="W93">Common_InputFunctions.Utility_DisplayArrayInTable(Fertiliser_SourceData.Fertiliser_Products_Data1(), FertiliserProducts[[#Headers],[Company]],1)</f>
        <v/>
      </c>
      <c r="X93" s="148" t="str" cm="1">
        <f t="array" ref="X93">Common_InputFunctions.Utility_DisplayArrayInTable(Fertiliser_SourceData.Fertiliser_Products_Data1(), FertiliserProducts[[#Headers],[Company]],1)</f>
        <v/>
      </c>
      <c r="Y93" s="148" t="str" cm="1">
        <f t="array" ref="Y93">Common_InputFunctions.Utility_DisplayArrayInTable(Fertiliser_SourceData.Fertiliser_Products_Data1(), FertiliserProducts[[#Headers],[Company]],1)</f>
        <v/>
      </c>
      <c r="Z93" s="148" t="str" cm="1">
        <f t="array" ref="Z93">Common_InputFunctions.Utility_DisplayArrayInTable(Fertiliser_SourceData.Fertiliser_Products_Data1(), FertiliserProducts[[#Headers],[Company]],1)</f>
        <v/>
      </c>
      <c r="AA93" s="148" t="str" cm="1">
        <f t="array" ref="AA93">Common_InputFunctions.Utility_DisplayArrayInTable(Fertiliser_SourceData.Fertiliser_Products_Data1(), FertiliserProducts[[#Headers],[Company]],1)</f>
        <v/>
      </c>
      <c r="AB93" s="148" t="str" cm="1">
        <f t="array" ref="AB93">Common_InputFunctions.Utility_DisplayArrayInTable(Fertiliser_SourceData.Fertiliser_Products_Data1(), FertiliserProducts[[#Headers],[Company]],1)</f>
        <v/>
      </c>
      <c r="AC93" s="148" t="str" cm="1">
        <f t="array" ref="AC93">Common_InputFunctions.Utility_DisplayArrayInTable(Fertiliser_SourceData.Fertiliser_Products_Data1(), FertiliserProducts[[#Headers],[Company]],1)</f>
        <v/>
      </c>
      <c r="AD93" s="148" t="str" cm="1">
        <f t="array" ref="AD93">Common_InputFunctions.Utility_DisplayArrayInTable(Fertiliser_SourceData.Fertiliser_Products_Data1(), FertiliserProducts[[#Headers],[Company]],1)</f>
        <v/>
      </c>
      <c r="AE93" s="148" t="str" cm="1">
        <f t="array" ref="AE93">Common_InputFunctions.Utility_DisplayArrayInTable(Fertiliser_SourceData.Fertiliser_Products_Data1(), FertiliserProducts[[#Headers],[Company]],1)</f>
        <v/>
      </c>
      <c r="AF93" s="148" t="str" cm="1">
        <f t="array" ref="AF93">Common_InputFunctions.Utility_DisplayArrayInTable(Fertiliser_SourceData.Fertiliser_Products_Data1(), FertiliserProducts[[#Headers],[Company]],1)</f>
        <v/>
      </c>
      <c r="AG93" s="148" t="str" cm="1">
        <f t="array" ref="AG93">Common_InputFunctions.Utility_DisplayArrayInTable(Fertiliser_SourceData.Fertiliser_Products_Data1(), FertiliserProducts[[#Headers],[Company]],1)</f>
        <v/>
      </c>
      <c r="AH93" s="148" t="str" cm="1">
        <f t="array" ref="AH93">Common_InputFunctions.Utility_DisplayArrayInTable(Fertiliser_SourceData.Fertiliser_Products_Data1(), FertiliserProducts[[#Headers],[Company]],1)</f>
        <v/>
      </c>
      <c r="AK93" s="1"/>
      <c r="AL93" s="1"/>
      <c r="AM93" s="1"/>
    </row>
    <row r="94" spans="4:39" ht="20.100000000000001" customHeight="1" x14ac:dyDescent="0.2">
      <c r="D94" s="148" t="str" cm="1">
        <f t="array" ref="D94">Common_InputFunctions.Utility_DisplayArrayInTable(Fertiliser_SourceData.Fertiliser_Products_Data1(), FertiliserProducts[[#Headers],[Company]],1)</f>
        <v>Campbells fertilisers Australia</v>
      </c>
      <c r="E94" s="148" t="str" cm="1">
        <f t="array" ref="E94">Common_InputFunctions.Utility_DisplayArrayInTable(Fertiliser_SourceData.Fertiliser_Products_Data1(), FertiliserProducts[[#Headers],[Company]],1)</f>
        <v>Aqua NitroCal (VI)</v>
      </c>
      <c r="F94" s="148" t="str" cm="1">
        <f t="array" ref="F94">Common_InputFunctions.Utility_DisplayArrayInTable(Fertiliser_SourceData.Fertiliser_Products_Data1(), FertiliserProducts[[#Headers],[Company]],1)</f>
        <v>L</v>
      </c>
      <c r="G94" s="148" cm="1">
        <f t="array" ref="G94">Common_InputFunctions.Utility_DisplayArrayInTable(Fertiliser_SourceData.Fertiliser_Products_Data1(), FertiliserProducts[[#Headers],[Company]],1)</f>
        <v>1.5</v>
      </c>
      <c r="H94" s="148" t="str" cm="1">
        <f t="array" ref="H94">Common_InputFunctions.Utility_DisplayArrayInTable(Fertiliser_SourceData.Fertiliser_Products_Data1(), FertiliserProducts[[#Headers],[Company]],1)</f>
        <v/>
      </c>
      <c r="I94" s="148" t="str" cm="1">
        <f t="array" ref="I94">Common_InputFunctions.Utility_DisplayArrayInTable(Fertiliser_SourceData.Fertiliser_Products_Data1(), FertiliserProducts[[#Headers],[Company]],1)</f>
        <v/>
      </c>
      <c r="J94" s="148" t="str" cm="1">
        <f t="array" ref="J94">Common_InputFunctions.Utility_DisplayArrayInTable(Fertiliser_SourceData.Fertiliser_Products_Data1(), FertiliserProducts[[#Headers],[Company]],1)</f>
        <v/>
      </c>
      <c r="K94" s="148" cm="1">
        <f t="array" ref="K94">Common_InputFunctions.Utility_DisplayArrayInTable(Fertiliser_SourceData.Fertiliser_Products_Data1(), FertiliserProducts[[#Headers],[Company]],1)</f>
        <v>13.2</v>
      </c>
      <c r="L94" s="148" t="str" cm="1">
        <f t="array" ref="L94">Common_InputFunctions.Utility_DisplayArrayInTable(Fertiliser_SourceData.Fertiliser_Products_Data1(), FertiliserProducts[[#Headers],[Company]],1)</f>
        <v/>
      </c>
      <c r="M94" s="148" t="str" cm="1">
        <f t="array" ref="M94">Common_InputFunctions.Utility_DisplayArrayInTable(Fertiliser_SourceData.Fertiliser_Products_Data1(), FertiliserProducts[[#Headers],[Company]],1)</f>
        <v/>
      </c>
      <c r="N94" s="148" t="str" cm="1">
        <f t="array" ref="N94">Common_InputFunctions.Utility_DisplayArrayInTable(Fertiliser_SourceData.Fertiliser_Products_Data1(), FertiliserProducts[[#Headers],[Company]],1)</f>
        <v/>
      </c>
      <c r="O94" s="148" t="str" cm="1">
        <f t="array" ref="O94">Common_InputFunctions.Utility_DisplayArrayInTable(Fertiliser_SourceData.Fertiliser_Products_Data1(), FertiliserProducts[[#Headers],[Company]],1)</f>
        <v>Calcium</v>
      </c>
      <c r="P94" s="148" cm="1">
        <f t="array" ref="P94">Common_InputFunctions.Utility_DisplayArrayInTable(Fertiliser_SourceData.Fertiliser_Products_Data1(), FertiliserProducts[[#Headers],[Company]],1)</f>
        <v>0.187</v>
      </c>
      <c r="Q94" s="148" t="str" cm="1">
        <f t="array" ref="Q94">Common_InputFunctions.Utility_DisplayArrayInTable(Fertiliser_SourceData.Fertiliser_Products_Data1(), FertiliserProducts[[#Headers],[Company]],1)</f>
        <v>Nitrogen - Nitrate</v>
      </c>
      <c r="R94" s="148" cm="1">
        <f t="array" ref="R94">Common_InputFunctions.Utility_DisplayArrayInTable(Fertiliser_SourceData.Fertiliser_Products_Data1(), FertiliserProducts[[#Headers],[Company]],1)</f>
        <v>0.13200000000000001</v>
      </c>
      <c r="S94" s="148" t="str" cm="1">
        <f t="array" ref="S94">Common_InputFunctions.Utility_DisplayArrayInTable(Fertiliser_SourceData.Fertiliser_Products_Data1(), FertiliserProducts[[#Headers],[Company]],1)</f>
        <v/>
      </c>
      <c r="T94" s="148" t="str" cm="1">
        <f t="array" ref="T94">Common_InputFunctions.Utility_DisplayArrayInTable(Fertiliser_SourceData.Fertiliser_Products_Data1(), FertiliserProducts[[#Headers],[Company]],1)</f>
        <v/>
      </c>
      <c r="U94" s="148" t="str" cm="1">
        <f t="array" ref="U94">Common_InputFunctions.Utility_DisplayArrayInTable(Fertiliser_SourceData.Fertiliser_Products_Data1(), FertiliserProducts[[#Headers],[Company]],1)</f>
        <v/>
      </c>
      <c r="V94" s="148" t="str" cm="1">
        <f t="array" ref="V94">Common_InputFunctions.Utility_DisplayArrayInTable(Fertiliser_SourceData.Fertiliser_Products_Data1(), FertiliserProducts[[#Headers],[Company]],1)</f>
        <v/>
      </c>
      <c r="W94" s="148" t="str" cm="1">
        <f t="array" ref="W94">Common_InputFunctions.Utility_DisplayArrayInTable(Fertiliser_SourceData.Fertiliser_Products_Data1(), FertiliserProducts[[#Headers],[Company]],1)</f>
        <v/>
      </c>
      <c r="X94" s="148" t="str" cm="1">
        <f t="array" ref="X94">Common_InputFunctions.Utility_DisplayArrayInTable(Fertiliser_SourceData.Fertiliser_Products_Data1(), FertiliserProducts[[#Headers],[Company]],1)</f>
        <v/>
      </c>
      <c r="Y94" s="148" t="str" cm="1">
        <f t="array" ref="Y94">Common_InputFunctions.Utility_DisplayArrayInTable(Fertiliser_SourceData.Fertiliser_Products_Data1(), FertiliserProducts[[#Headers],[Company]],1)</f>
        <v/>
      </c>
      <c r="Z94" s="148" t="str" cm="1">
        <f t="array" ref="Z94">Common_InputFunctions.Utility_DisplayArrayInTable(Fertiliser_SourceData.Fertiliser_Products_Data1(), FertiliserProducts[[#Headers],[Company]],1)</f>
        <v/>
      </c>
      <c r="AA94" s="148" t="str" cm="1">
        <f t="array" ref="AA94">Common_InputFunctions.Utility_DisplayArrayInTable(Fertiliser_SourceData.Fertiliser_Products_Data1(), FertiliserProducts[[#Headers],[Company]],1)</f>
        <v/>
      </c>
      <c r="AB94" s="148" t="str" cm="1">
        <f t="array" ref="AB94">Common_InputFunctions.Utility_DisplayArrayInTable(Fertiliser_SourceData.Fertiliser_Products_Data1(), FertiliserProducts[[#Headers],[Company]],1)</f>
        <v/>
      </c>
      <c r="AC94" s="148" t="str" cm="1">
        <f t="array" ref="AC94">Common_InputFunctions.Utility_DisplayArrayInTable(Fertiliser_SourceData.Fertiliser_Products_Data1(), FertiliserProducts[[#Headers],[Company]],1)</f>
        <v/>
      </c>
      <c r="AD94" s="148" t="str" cm="1">
        <f t="array" ref="AD94">Common_InputFunctions.Utility_DisplayArrayInTable(Fertiliser_SourceData.Fertiliser_Products_Data1(), FertiliserProducts[[#Headers],[Company]],1)</f>
        <v/>
      </c>
      <c r="AE94" s="148" t="str" cm="1">
        <f t="array" ref="AE94">Common_InputFunctions.Utility_DisplayArrayInTable(Fertiliser_SourceData.Fertiliser_Products_Data1(), FertiliserProducts[[#Headers],[Company]],1)</f>
        <v/>
      </c>
      <c r="AF94" s="148" t="str" cm="1">
        <f t="array" ref="AF94">Common_InputFunctions.Utility_DisplayArrayInTable(Fertiliser_SourceData.Fertiliser_Products_Data1(), FertiliserProducts[[#Headers],[Company]],1)</f>
        <v/>
      </c>
      <c r="AG94" s="148" t="str" cm="1">
        <f t="array" ref="AG94">Common_InputFunctions.Utility_DisplayArrayInTable(Fertiliser_SourceData.Fertiliser_Products_Data1(), FertiliserProducts[[#Headers],[Company]],1)</f>
        <v/>
      </c>
      <c r="AH94" s="148" t="str" cm="1">
        <f t="array" ref="AH94">Common_InputFunctions.Utility_DisplayArrayInTable(Fertiliser_SourceData.Fertiliser_Products_Data1(), FertiliserProducts[[#Headers],[Company]],1)</f>
        <v/>
      </c>
      <c r="AK94" s="1"/>
      <c r="AL94" s="1"/>
      <c r="AM94" s="1"/>
    </row>
    <row r="95" spans="4:39" ht="20.100000000000001" customHeight="1" x14ac:dyDescent="0.2">
      <c r="D95" s="148" t="str" cm="1">
        <f t="array" ref="D95">Common_InputFunctions.Utility_DisplayArrayInTable(Fertiliser_SourceData.Fertiliser_Products_Data1(), FertiliserProducts[[#Headers],[Company]],1)</f>
        <v>Campbells fertilisers Australia</v>
      </c>
      <c r="E95" s="148" t="str" cm="1">
        <f t="array" ref="E95">Common_InputFunctions.Utility_DisplayArrayInTable(Fertiliser_SourceData.Fertiliser_Products_Data1(), FertiliserProducts[[#Headers],[Company]],1)</f>
        <v>Aqua NitroCal Ultimate</v>
      </c>
      <c r="F95" s="148" t="str" cm="1">
        <f t="array" ref="F95">Common_InputFunctions.Utility_DisplayArrayInTable(Fertiliser_SourceData.Fertiliser_Products_Data1(), FertiliserProducts[[#Headers],[Company]],1)</f>
        <v>L</v>
      </c>
      <c r="G95" s="148" cm="1">
        <f t="array" ref="G95">Common_InputFunctions.Utility_DisplayArrayInTable(Fertiliser_SourceData.Fertiliser_Products_Data1(), FertiliserProducts[[#Headers],[Company]],1)</f>
        <v>1.5</v>
      </c>
      <c r="H95" s="148" t="str" cm="1">
        <f t="array" ref="H95">Common_InputFunctions.Utility_DisplayArrayInTable(Fertiliser_SourceData.Fertiliser_Products_Data1(), FertiliserProducts[[#Headers],[Company]],1)</f>
        <v/>
      </c>
      <c r="I95" s="148" t="str" cm="1">
        <f t="array" ref="I95">Common_InputFunctions.Utility_DisplayArrayInTable(Fertiliser_SourceData.Fertiliser_Products_Data1(), FertiliserProducts[[#Headers],[Company]],1)</f>
        <v/>
      </c>
      <c r="J95" s="148" t="str" cm="1">
        <f t="array" ref="J95">Common_InputFunctions.Utility_DisplayArrayInTable(Fertiliser_SourceData.Fertiliser_Products_Data1(), FertiliserProducts[[#Headers],[Company]],1)</f>
        <v/>
      </c>
      <c r="K95" s="148" cm="1">
        <f t="array" ref="K95">Common_InputFunctions.Utility_DisplayArrayInTable(Fertiliser_SourceData.Fertiliser_Products_Data1(), FertiliserProducts[[#Headers],[Company]],1)</f>
        <v>13.2</v>
      </c>
      <c r="L95" s="148" t="str" cm="1">
        <f t="array" ref="L95">Common_InputFunctions.Utility_DisplayArrayInTable(Fertiliser_SourceData.Fertiliser_Products_Data1(), FertiliserProducts[[#Headers],[Company]],1)</f>
        <v/>
      </c>
      <c r="M95" s="148" t="str" cm="1">
        <f t="array" ref="M95">Common_InputFunctions.Utility_DisplayArrayInTable(Fertiliser_SourceData.Fertiliser_Products_Data1(), FertiliserProducts[[#Headers],[Company]],1)</f>
        <v/>
      </c>
      <c r="N95" s="148" t="str" cm="1">
        <f t="array" ref="N95">Common_InputFunctions.Utility_DisplayArrayInTable(Fertiliser_SourceData.Fertiliser_Products_Data1(), FertiliserProducts[[#Headers],[Company]],1)</f>
        <v/>
      </c>
      <c r="O95" s="148" t="str" cm="1">
        <f t="array" ref="O95">Common_InputFunctions.Utility_DisplayArrayInTable(Fertiliser_SourceData.Fertiliser_Products_Data1(), FertiliserProducts[[#Headers],[Company]],1)</f>
        <v>Calcium</v>
      </c>
      <c r="P95" s="148" cm="1">
        <f t="array" ref="P95">Common_InputFunctions.Utility_DisplayArrayInTable(Fertiliser_SourceData.Fertiliser_Products_Data1(), FertiliserProducts[[#Headers],[Company]],1)</f>
        <v>0.183</v>
      </c>
      <c r="Q95" s="148" t="str" cm="1">
        <f t="array" ref="Q95">Common_InputFunctions.Utility_DisplayArrayInTable(Fertiliser_SourceData.Fertiliser_Products_Data1(), FertiliserProducts[[#Headers],[Company]],1)</f>
        <v>Nitrogen - Nitrate</v>
      </c>
      <c r="R95" s="148" cm="1">
        <f t="array" ref="R95">Common_InputFunctions.Utility_DisplayArrayInTable(Fertiliser_SourceData.Fertiliser_Products_Data1(), FertiliserProducts[[#Headers],[Company]],1)</f>
        <v>0.13200000000000001</v>
      </c>
      <c r="S95" s="148" t="str" cm="1">
        <f t="array" ref="S95">Common_InputFunctions.Utility_DisplayArrayInTable(Fertiliser_SourceData.Fertiliser_Products_Data1(), FertiliserProducts[[#Headers],[Company]],1)</f>
        <v/>
      </c>
      <c r="T95" s="148" t="str" cm="1">
        <f t="array" ref="T95">Common_InputFunctions.Utility_DisplayArrayInTable(Fertiliser_SourceData.Fertiliser_Products_Data1(), FertiliserProducts[[#Headers],[Company]],1)</f>
        <v/>
      </c>
      <c r="U95" s="148" t="str" cm="1">
        <f t="array" ref="U95">Common_InputFunctions.Utility_DisplayArrayInTable(Fertiliser_SourceData.Fertiliser_Products_Data1(), FertiliserProducts[[#Headers],[Company]],1)</f>
        <v/>
      </c>
      <c r="V95" s="148" t="str" cm="1">
        <f t="array" ref="V95">Common_InputFunctions.Utility_DisplayArrayInTable(Fertiliser_SourceData.Fertiliser_Products_Data1(), FertiliserProducts[[#Headers],[Company]],1)</f>
        <v/>
      </c>
      <c r="W95" s="148" t="str" cm="1">
        <f t="array" ref="W95">Common_InputFunctions.Utility_DisplayArrayInTable(Fertiliser_SourceData.Fertiliser_Products_Data1(), FertiliserProducts[[#Headers],[Company]],1)</f>
        <v/>
      </c>
      <c r="X95" s="148" t="str" cm="1">
        <f t="array" ref="X95">Common_InputFunctions.Utility_DisplayArrayInTable(Fertiliser_SourceData.Fertiliser_Products_Data1(), FertiliserProducts[[#Headers],[Company]],1)</f>
        <v/>
      </c>
      <c r="Y95" s="148" t="str" cm="1">
        <f t="array" ref="Y95">Common_InputFunctions.Utility_DisplayArrayInTable(Fertiliser_SourceData.Fertiliser_Products_Data1(), FertiliserProducts[[#Headers],[Company]],1)</f>
        <v/>
      </c>
      <c r="Z95" s="148" t="str" cm="1">
        <f t="array" ref="Z95">Common_InputFunctions.Utility_DisplayArrayInTable(Fertiliser_SourceData.Fertiliser_Products_Data1(), FertiliserProducts[[#Headers],[Company]],1)</f>
        <v/>
      </c>
      <c r="AA95" s="148" t="str" cm="1">
        <f t="array" ref="AA95">Common_InputFunctions.Utility_DisplayArrayInTable(Fertiliser_SourceData.Fertiliser_Products_Data1(), FertiliserProducts[[#Headers],[Company]],1)</f>
        <v/>
      </c>
      <c r="AB95" s="148" t="str" cm="1">
        <f t="array" ref="AB95">Common_InputFunctions.Utility_DisplayArrayInTable(Fertiliser_SourceData.Fertiliser_Products_Data1(), FertiliserProducts[[#Headers],[Company]],1)</f>
        <v/>
      </c>
      <c r="AC95" s="148" t="str" cm="1">
        <f t="array" ref="AC95">Common_InputFunctions.Utility_DisplayArrayInTable(Fertiliser_SourceData.Fertiliser_Products_Data1(), FertiliserProducts[[#Headers],[Company]],1)</f>
        <v/>
      </c>
      <c r="AD95" s="148" t="str" cm="1">
        <f t="array" ref="AD95">Common_InputFunctions.Utility_DisplayArrayInTable(Fertiliser_SourceData.Fertiliser_Products_Data1(), FertiliserProducts[[#Headers],[Company]],1)</f>
        <v/>
      </c>
      <c r="AE95" s="148" t="str" cm="1">
        <f t="array" ref="AE95">Common_InputFunctions.Utility_DisplayArrayInTable(Fertiliser_SourceData.Fertiliser_Products_Data1(), FertiliserProducts[[#Headers],[Company]],1)</f>
        <v/>
      </c>
      <c r="AF95" s="148" t="str" cm="1">
        <f t="array" ref="AF95">Common_InputFunctions.Utility_DisplayArrayInTable(Fertiliser_SourceData.Fertiliser_Products_Data1(), FertiliserProducts[[#Headers],[Company]],1)</f>
        <v/>
      </c>
      <c r="AG95" s="148" t="str" cm="1">
        <f t="array" ref="AG95">Common_InputFunctions.Utility_DisplayArrayInTable(Fertiliser_SourceData.Fertiliser_Products_Data1(), FertiliserProducts[[#Headers],[Company]],1)</f>
        <v/>
      </c>
      <c r="AH95" s="148" t="str" cm="1">
        <f t="array" ref="AH95">Common_InputFunctions.Utility_DisplayArrayInTable(Fertiliser_SourceData.Fertiliser_Products_Data1(), FertiliserProducts[[#Headers],[Company]],1)</f>
        <v/>
      </c>
      <c r="AK95" s="1"/>
      <c r="AL95" s="1"/>
      <c r="AM95" s="1"/>
    </row>
    <row r="96" spans="4:39" ht="20.100000000000001" customHeight="1" x14ac:dyDescent="0.2">
      <c r="D96" s="148" t="str" cm="1">
        <f t="array" ref="D96">Common_InputFunctions.Utility_DisplayArrayInTable(Fertiliser_SourceData.Fertiliser_Products_Data1(), FertiliserProducts[[#Headers],[Company]],1)</f>
        <v>Campbells fertilisers Australia</v>
      </c>
      <c r="E96" s="148" t="str" cm="1">
        <f t="array" ref="E96">Common_InputFunctions.Utility_DisplayArrayInTable(Fertiliser_SourceData.Fertiliser_Products_Data1(), FertiliserProducts[[#Headers],[Company]],1)</f>
        <v>Aqua Start</v>
      </c>
      <c r="F96" s="148" t="str" cm="1">
        <f t="array" ref="F96">Common_InputFunctions.Utility_DisplayArrayInTable(Fertiliser_SourceData.Fertiliser_Products_Data1(), FertiliserProducts[[#Headers],[Company]],1)</f>
        <v>L</v>
      </c>
      <c r="G96" s="148" cm="1">
        <f t="array" ref="G96">Common_InputFunctions.Utility_DisplayArrayInTable(Fertiliser_SourceData.Fertiliser_Products_Data1(), FertiliserProducts[[#Headers],[Company]],1)</f>
        <v>1.25</v>
      </c>
      <c r="H96" s="148" t="str" cm="1">
        <f t="array" ref="H96">Common_InputFunctions.Utility_DisplayArrayInTable(Fertiliser_SourceData.Fertiliser_Products_Data1(), FertiliserProducts[[#Headers],[Company]],1)</f>
        <v/>
      </c>
      <c r="I96" s="148" t="str" cm="1">
        <f t="array" ref="I96">Common_InputFunctions.Utility_DisplayArrayInTable(Fertiliser_SourceData.Fertiliser_Products_Data1(), FertiliserProducts[[#Headers],[Company]],1)</f>
        <v/>
      </c>
      <c r="J96" s="148" t="str" cm="1">
        <f t="array" ref="J96">Common_InputFunctions.Utility_DisplayArrayInTable(Fertiliser_SourceData.Fertiliser_Products_Data1(), FertiliserProducts[[#Headers],[Company]],1)</f>
        <v/>
      </c>
      <c r="K96" s="148" cm="1">
        <f t="array" ref="K96">Common_InputFunctions.Utility_DisplayArrayInTable(Fertiliser_SourceData.Fertiliser_Products_Data1(), FertiliserProducts[[#Headers],[Company]],1)</f>
        <v>10.3</v>
      </c>
      <c r="L96" s="148" cm="1">
        <f t="array" ref="L96">Common_InputFunctions.Utility_DisplayArrayInTable(Fertiliser_SourceData.Fertiliser_Products_Data1(), FertiliserProducts[[#Headers],[Company]],1)</f>
        <v>10</v>
      </c>
      <c r="M96" s="148" cm="1">
        <f t="array" ref="M96">Common_InputFunctions.Utility_DisplayArrayInTable(Fertiliser_SourceData.Fertiliser_Products_Data1(), FertiliserProducts[[#Headers],[Company]],1)</f>
        <v>3.4</v>
      </c>
      <c r="N96" s="148" t="str" cm="1">
        <f t="array" ref="N96">Common_InputFunctions.Utility_DisplayArrayInTable(Fertiliser_SourceData.Fertiliser_Products_Data1(), FertiliserProducts[[#Headers],[Company]],1)</f>
        <v/>
      </c>
      <c r="O96" s="148" t="str" cm="1">
        <f t="array" ref="O96">Common_InputFunctions.Utility_DisplayArrayInTable(Fertiliser_SourceData.Fertiliser_Products_Data1(), FertiliserProducts[[#Headers],[Company]],1)</f>
        <v>Nitrogen - Generic</v>
      </c>
      <c r="P96" s="148" cm="1">
        <f t="array" ref="P96">Common_InputFunctions.Utility_DisplayArrayInTable(Fertiliser_SourceData.Fertiliser_Products_Data1(), FertiliserProducts[[#Headers],[Company]],1)</f>
        <v>0.10299999999999999</v>
      </c>
      <c r="Q96" s="148" t="str" cm="1">
        <f t="array" ref="Q96">Common_InputFunctions.Utility_DisplayArrayInTable(Fertiliser_SourceData.Fertiliser_Products_Data1(), FertiliserProducts[[#Headers],[Company]],1)</f>
        <v>Phosphorus - Generic</v>
      </c>
      <c r="R96" s="148" cm="1">
        <f t="array" ref="R96">Common_InputFunctions.Utility_DisplayArrayInTable(Fertiliser_SourceData.Fertiliser_Products_Data1(), FertiliserProducts[[#Headers],[Company]],1)</f>
        <v>0.1</v>
      </c>
      <c r="S96" s="148" t="str" cm="1">
        <f t="array" ref="S96">Common_InputFunctions.Utility_DisplayArrayInTable(Fertiliser_SourceData.Fertiliser_Products_Data1(), FertiliserProducts[[#Headers],[Company]],1)</f>
        <v>Potassium - Generic</v>
      </c>
      <c r="T96" s="148" cm="1">
        <f t="array" ref="T96">Common_InputFunctions.Utility_DisplayArrayInTable(Fertiliser_SourceData.Fertiliser_Products_Data1(), FertiliserProducts[[#Headers],[Company]],1)</f>
        <v>3.4000000000000002E-2</v>
      </c>
      <c r="U96" s="148" t="str" cm="1">
        <f t="array" ref="U96">Common_InputFunctions.Utility_DisplayArrayInTable(Fertiliser_SourceData.Fertiliser_Products_Data1(), FertiliserProducts[[#Headers],[Company]],1)</f>
        <v/>
      </c>
      <c r="V96" s="148" t="str" cm="1">
        <f t="array" ref="V96">Common_InputFunctions.Utility_DisplayArrayInTable(Fertiliser_SourceData.Fertiliser_Products_Data1(), FertiliserProducts[[#Headers],[Company]],1)</f>
        <v/>
      </c>
      <c r="W96" s="148" t="str" cm="1">
        <f t="array" ref="W96">Common_InputFunctions.Utility_DisplayArrayInTable(Fertiliser_SourceData.Fertiliser_Products_Data1(), FertiliserProducts[[#Headers],[Company]],1)</f>
        <v/>
      </c>
      <c r="X96" s="148" t="str" cm="1">
        <f t="array" ref="X96">Common_InputFunctions.Utility_DisplayArrayInTable(Fertiliser_SourceData.Fertiliser_Products_Data1(), FertiliserProducts[[#Headers],[Company]],1)</f>
        <v/>
      </c>
      <c r="Y96" s="148" t="str" cm="1">
        <f t="array" ref="Y96">Common_InputFunctions.Utility_DisplayArrayInTable(Fertiliser_SourceData.Fertiliser_Products_Data1(), FertiliserProducts[[#Headers],[Company]],1)</f>
        <v/>
      </c>
      <c r="Z96" s="148" t="str" cm="1">
        <f t="array" ref="Z96">Common_InputFunctions.Utility_DisplayArrayInTable(Fertiliser_SourceData.Fertiliser_Products_Data1(), FertiliserProducts[[#Headers],[Company]],1)</f>
        <v/>
      </c>
      <c r="AA96" s="148" t="str" cm="1">
        <f t="array" ref="AA96">Common_InputFunctions.Utility_DisplayArrayInTable(Fertiliser_SourceData.Fertiliser_Products_Data1(), FertiliserProducts[[#Headers],[Company]],1)</f>
        <v/>
      </c>
      <c r="AB96" s="148" t="str" cm="1">
        <f t="array" ref="AB96">Common_InputFunctions.Utility_DisplayArrayInTable(Fertiliser_SourceData.Fertiliser_Products_Data1(), FertiliserProducts[[#Headers],[Company]],1)</f>
        <v/>
      </c>
      <c r="AC96" s="148" t="str" cm="1">
        <f t="array" ref="AC96">Common_InputFunctions.Utility_DisplayArrayInTable(Fertiliser_SourceData.Fertiliser_Products_Data1(), FertiliserProducts[[#Headers],[Company]],1)</f>
        <v/>
      </c>
      <c r="AD96" s="148" t="str" cm="1">
        <f t="array" ref="AD96">Common_InputFunctions.Utility_DisplayArrayInTable(Fertiliser_SourceData.Fertiliser_Products_Data1(), FertiliserProducts[[#Headers],[Company]],1)</f>
        <v/>
      </c>
      <c r="AE96" s="148" t="str" cm="1">
        <f t="array" ref="AE96">Common_InputFunctions.Utility_DisplayArrayInTable(Fertiliser_SourceData.Fertiliser_Products_Data1(), FertiliserProducts[[#Headers],[Company]],1)</f>
        <v/>
      </c>
      <c r="AF96" s="148" t="str" cm="1">
        <f t="array" ref="AF96">Common_InputFunctions.Utility_DisplayArrayInTable(Fertiliser_SourceData.Fertiliser_Products_Data1(), FertiliserProducts[[#Headers],[Company]],1)</f>
        <v/>
      </c>
      <c r="AG96" s="148" t="str" cm="1">
        <f t="array" ref="AG96">Common_InputFunctions.Utility_DisplayArrayInTable(Fertiliser_SourceData.Fertiliser_Products_Data1(), FertiliserProducts[[#Headers],[Company]],1)</f>
        <v/>
      </c>
      <c r="AH96" s="148" t="str" cm="1">
        <f t="array" ref="AH96">Common_InputFunctions.Utility_DisplayArrayInTable(Fertiliser_SourceData.Fertiliser_Products_Data1(), FertiliserProducts[[#Headers],[Company]],1)</f>
        <v/>
      </c>
      <c r="AK96" s="1"/>
      <c r="AL96" s="1"/>
      <c r="AM96" s="1"/>
    </row>
    <row r="97" spans="1:39" ht="20.100000000000001" customHeight="1" x14ac:dyDescent="0.2">
      <c r="D97" s="148" t="str" cm="1">
        <f t="array" ref="D97">Common_InputFunctions.Utility_DisplayArrayInTable(Fertiliser_SourceData.Fertiliser_Products_Data1(), FertiliserProducts[[#Headers],[Company]],1)</f>
        <v>Campbells fertilisers Australia</v>
      </c>
      <c r="E97" s="148" t="str" cm="1">
        <f t="array" ref="E97">Common_InputFunctions.Utility_DisplayArrayInTable(Fertiliser_SourceData.Fertiliser_Products_Data1(), FertiliserProducts[[#Headers],[Company]],1)</f>
        <v>Aqua Thio-Complete</v>
      </c>
      <c r="F97" s="148" t="str" cm="1">
        <f t="array" ref="F97">Common_InputFunctions.Utility_DisplayArrayInTable(Fertiliser_SourceData.Fertiliser_Products_Data1(), FertiliserProducts[[#Headers],[Company]],1)</f>
        <v>L</v>
      </c>
      <c r="G97" s="148" cm="1">
        <f t="array" ref="G97">Common_InputFunctions.Utility_DisplayArrayInTable(Fertiliser_SourceData.Fertiliser_Products_Data1(), FertiliserProducts[[#Headers],[Company]],1)</f>
        <v>1.43</v>
      </c>
      <c r="H97" s="148" t="str" cm="1">
        <f t="array" ref="H97">Common_InputFunctions.Utility_DisplayArrayInTable(Fertiliser_SourceData.Fertiliser_Products_Data1(), FertiliserProducts[[#Headers],[Company]],1)</f>
        <v/>
      </c>
      <c r="I97" s="148" t="str" cm="1">
        <f t="array" ref="I97">Common_InputFunctions.Utility_DisplayArrayInTable(Fertiliser_SourceData.Fertiliser_Products_Data1(), FertiliserProducts[[#Headers],[Company]],1)</f>
        <v/>
      </c>
      <c r="J97" s="148" t="str" cm="1">
        <f t="array" ref="J97">Common_InputFunctions.Utility_DisplayArrayInTable(Fertiliser_SourceData.Fertiliser_Products_Data1(), FertiliserProducts[[#Headers],[Company]],1)</f>
        <v/>
      </c>
      <c r="K97" s="148" cm="1">
        <f t="array" ref="K97">Common_InputFunctions.Utility_DisplayArrayInTable(Fertiliser_SourceData.Fertiliser_Products_Data1(), FertiliserProducts[[#Headers],[Company]],1)</f>
        <v>2.5</v>
      </c>
      <c r="L97" s="148" cm="1">
        <f t="array" ref="L97">Common_InputFunctions.Utility_DisplayArrayInTable(Fertiliser_SourceData.Fertiliser_Products_Data1(), FertiliserProducts[[#Headers],[Company]],1)</f>
        <v>3.8</v>
      </c>
      <c r="M97" s="148" cm="1">
        <f t="array" ref="M97">Common_InputFunctions.Utility_DisplayArrayInTable(Fertiliser_SourceData.Fertiliser_Products_Data1(), FertiliserProducts[[#Headers],[Company]],1)</f>
        <v>22.5</v>
      </c>
      <c r="N97" s="148" t="str" cm="1">
        <f t="array" ref="N97">Common_InputFunctions.Utility_DisplayArrayInTable(Fertiliser_SourceData.Fertiliser_Products_Data1(), FertiliserProducts[[#Headers],[Company]],1)</f>
        <v/>
      </c>
      <c r="O97" s="148" t="str" cm="1">
        <f t="array" ref="O97">Common_InputFunctions.Utility_DisplayArrayInTable(Fertiliser_SourceData.Fertiliser_Products_Data1(), FertiliserProducts[[#Headers],[Company]],1)</f>
        <v>Potassium - Generic</v>
      </c>
      <c r="P97" s="148" cm="1">
        <f t="array" ref="P97">Common_InputFunctions.Utility_DisplayArrayInTable(Fertiliser_SourceData.Fertiliser_Products_Data1(), FertiliserProducts[[#Headers],[Company]],1)</f>
        <v>0.22500000000000001</v>
      </c>
      <c r="Q97" s="148" t="str" cm="1">
        <f t="array" ref="Q97">Common_InputFunctions.Utility_DisplayArrayInTable(Fertiliser_SourceData.Fertiliser_Products_Data1(), FertiliserProducts[[#Headers],[Company]],1)</f>
        <v>Phosphorus - Generic</v>
      </c>
      <c r="R97" s="148" cm="1">
        <f t="array" ref="R97">Common_InputFunctions.Utility_DisplayArrayInTable(Fertiliser_SourceData.Fertiliser_Products_Data1(), FertiliserProducts[[#Headers],[Company]],1)</f>
        <v>3.7999999999999999E-2</v>
      </c>
      <c r="S97" s="148" t="str" cm="1">
        <f t="array" ref="S97">Common_InputFunctions.Utility_DisplayArrayInTable(Fertiliser_SourceData.Fertiliser_Products_Data1(), FertiliserProducts[[#Headers],[Company]],1)</f>
        <v>Nitrogen - Generic</v>
      </c>
      <c r="T97" s="148" cm="1">
        <f t="array" ref="T97">Common_InputFunctions.Utility_DisplayArrayInTable(Fertiliser_SourceData.Fertiliser_Products_Data1(), FertiliserProducts[[#Headers],[Company]],1)</f>
        <v>2.5000000000000001E-2</v>
      </c>
      <c r="U97" s="148" t="str" cm="1">
        <f t="array" ref="U97">Common_InputFunctions.Utility_DisplayArrayInTable(Fertiliser_SourceData.Fertiliser_Products_Data1(), FertiliserProducts[[#Headers],[Company]],1)</f>
        <v/>
      </c>
      <c r="V97" s="148" t="str" cm="1">
        <f t="array" ref="V97">Common_InputFunctions.Utility_DisplayArrayInTable(Fertiliser_SourceData.Fertiliser_Products_Data1(), FertiliserProducts[[#Headers],[Company]],1)</f>
        <v/>
      </c>
      <c r="W97" s="148" t="str" cm="1">
        <f t="array" ref="W97">Common_InputFunctions.Utility_DisplayArrayInTable(Fertiliser_SourceData.Fertiliser_Products_Data1(), FertiliserProducts[[#Headers],[Company]],1)</f>
        <v/>
      </c>
      <c r="X97" s="148" t="str" cm="1">
        <f t="array" ref="X97">Common_InputFunctions.Utility_DisplayArrayInTable(Fertiliser_SourceData.Fertiliser_Products_Data1(), FertiliserProducts[[#Headers],[Company]],1)</f>
        <v/>
      </c>
      <c r="Y97" s="148" t="str" cm="1">
        <f t="array" ref="Y97">Common_InputFunctions.Utility_DisplayArrayInTable(Fertiliser_SourceData.Fertiliser_Products_Data1(), FertiliserProducts[[#Headers],[Company]],1)</f>
        <v/>
      </c>
      <c r="Z97" s="148" t="str" cm="1">
        <f t="array" ref="Z97">Common_InputFunctions.Utility_DisplayArrayInTable(Fertiliser_SourceData.Fertiliser_Products_Data1(), FertiliserProducts[[#Headers],[Company]],1)</f>
        <v/>
      </c>
      <c r="AA97" s="148" t="str" cm="1">
        <f t="array" ref="AA97">Common_InputFunctions.Utility_DisplayArrayInTable(Fertiliser_SourceData.Fertiliser_Products_Data1(), FertiliserProducts[[#Headers],[Company]],1)</f>
        <v/>
      </c>
      <c r="AB97" s="148" t="str" cm="1">
        <f t="array" ref="AB97">Common_InputFunctions.Utility_DisplayArrayInTable(Fertiliser_SourceData.Fertiliser_Products_Data1(), FertiliserProducts[[#Headers],[Company]],1)</f>
        <v/>
      </c>
      <c r="AC97" s="148" t="str" cm="1">
        <f t="array" ref="AC97">Common_InputFunctions.Utility_DisplayArrayInTable(Fertiliser_SourceData.Fertiliser_Products_Data1(), FertiliserProducts[[#Headers],[Company]],1)</f>
        <v/>
      </c>
      <c r="AD97" s="148" t="str" cm="1">
        <f t="array" ref="AD97">Common_InputFunctions.Utility_DisplayArrayInTable(Fertiliser_SourceData.Fertiliser_Products_Data1(), FertiliserProducts[[#Headers],[Company]],1)</f>
        <v/>
      </c>
      <c r="AE97" s="148" t="str" cm="1">
        <f t="array" ref="AE97">Common_InputFunctions.Utility_DisplayArrayInTable(Fertiliser_SourceData.Fertiliser_Products_Data1(), FertiliserProducts[[#Headers],[Company]],1)</f>
        <v/>
      </c>
      <c r="AF97" s="148" t="str" cm="1">
        <f t="array" ref="AF97">Common_InputFunctions.Utility_DisplayArrayInTable(Fertiliser_SourceData.Fertiliser_Products_Data1(), FertiliserProducts[[#Headers],[Company]],1)</f>
        <v/>
      </c>
      <c r="AG97" s="148" t="str" cm="1">
        <f t="array" ref="AG97">Common_InputFunctions.Utility_DisplayArrayInTable(Fertiliser_SourceData.Fertiliser_Products_Data1(), FertiliserProducts[[#Headers],[Company]],1)</f>
        <v/>
      </c>
      <c r="AH97" s="148" t="str" cm="1">
        <f t="array" ref="AH97">Common_InputFunctions.Utility_DisplayArrayInTable(Fertiliser_SourceData.Fertiliser_Products_Data1(), FertiliserProducts[[#Headers],[Company]],1)</f>
        <v/>
      </c>
      <c r="AK97" s="1"/>
      <c r="AL97" s="1"/>
      <c r="AM97" s="1"/>
    </row>
    <row r="98" spans="1:39" ht="20.100000000000001" customHeight="1" x14ac:dyDescent="0.2">
      <c r="A98" s="79" t="str">
        <f>HYPERLINK("#A1", "▲ Back to top")</f>
        <v>▲ Back to top</v>
      </c>
      <c r="D98" s="148" t="str" cm="1">
        <f t="array" ref="D98">Common_InputFunctions.Utility_DisplayArrayInTable(Fertiliser_SourceData.Fertiliser_Products_Data1(), FertiliserProducts[[#Headers],[Company]],1)</f>
        <v>Campbells fertilisers Australia</v>
      </c>
      <c r="E98" s="148" t="str" cm="1">
        <f t="array" ref="E98">Common_InputFunctions.Utility_DisplayArrayInTable(Fertiliser_SourceData.Fertiliser_Products_Data1(), FertiliserProducts[[#Headers],[Company]],1)</f>
        <v>Aqua Thio-Emerge</v>
      </c>
      <c r="F98" s="148" t="str" cm="1">
        <f t="array" ref="F98">Common_InputFunctions.Utility_DisplayArrayInTable(Fertiliser_SourceData.Fertiliser_Products_Data1(), FertiliserProducts[[#Headers],[Company]],1)</f>
        <v>L</v>
      </c>
      <c r="G98" s="148" cm="1">
        <f t="array" ref="G98">Common_InputFunctions.Utility_DisplayArrayInTable(Fertiliser_SourceData.Fertiliser_Products_Data1(), FertiliserProducts[[#Headers],[Company]],1)</f>
        <v>1.29</v>
      </c>
      <c r="H98" s="148" t="str" cm="1">
        <f t="array" ref="H98">Common_InputFunctions.Utility_DisplayArrayInTable(Fertiliser_SourceData.Fertiliser_Products_Data1(), FertiliserProducts[[#Headers],[Company]],1)</f>
        <v/>
      </c>
      <c r="I98" s="148" t="str" cm="1">
        <f t="array" ref="I98">Common_InputFunctions.Utility_DisplayArrayInTable(Fertiliser_SourceData.Fertiliser_Products_Data1(), FertiliserProducts[[#Headers],[Company]],1)</f>
        <v/>
      </c>
      <c r="J98" s="148" t="str" cm="1">
        <f t="array" ref="J98">Common_InputFunctions.Utility_DisplayArrayInTable(Fertiliser_SourceData.Fertiliser_Products_Data1(), FertiliserProducts[[#Headers],[Company]],1)</f>
        <v/>
      </c>
      <c r="K98" s="148" cm="1">
        <f t="array" ref="K98">Common_InputFunctions.Utility_DisplayArrayInTable(Fertiliser_SourceData.Fertiliser_Products_Data1(), FertiliserProducts[[#Headers],[Company]],1)</f>
        <v>10.5</v>
      </c>
      <c r="L98" s="148" cm="1">
        <f t="array" ref="L98">Common_InputFunctions.Utility_DisplayArrayInTable(Fertiliser_SourceData.Fertiliser_Products_Data1(), FertiliserProducts[[#Headers],[Company]],1)</f>
        <v>9.4</v>
      </c>
      <c r="M98" s="148" cm="1">
        <f t="array" ref="M98">Common_InputFunctions.Utility_DisplayArrayInTable(Fertiliser_SourceData.Fertiliser_Products_Data1(), FertiliserProducts[[#Headers],[Company]],1)</f>
        <v>4</v>
      </c>
      <c r="N98" s="148" cm="1">
        <f t="array" ref="N98">Common_InputFunctions.Utility_DisplayArrayInTable(Fertiliser_SourceData.Fertiliser_Products_Data1(), FertiliserProducts[[#Headers],[Company]],1)</f>
        <v>3</v>
      </c>
      <c r="O98" s="148" t="str" cm="1">
        <f t="array" ref="O98">Common_InputFunctions.Utility_DisplayArrayInTable(Fertiliser_SourceData.Fertiliser_Products_Data1(), FertiliserProducts[[#Headers],[Company]],1)</f>
        <v>Nitrogen - Generic</v>
      </c>
      <c r="P98" s="148" cm="1">
        <f t="array" ref="P98">Common_InputFunctions.Utility_DisplayArrayInTable(Fertiliser_SourceData.Fertiliser_Products_Data1(), FertiliserProducts[[#Headers],[Company]],1)</f>
        <v>0.105</v>
      </c>
      <c r="Q98" s="148" t="str" cm="1">
        <f t="array" ref="Q98">Common_InputFunctions.Utility_DisplayArrayInTable(Fertiliser_SourceData.Fertiliser_Products_Data1(), FertiliserProducts[[#Headers],[Company]],1)</f>
        <v>Phosphorus - Generic</v>
      </c>
      <c r="R98" s="148" cm="1">
        <f t="array" ref="R98">Common_InputFunctions.Utility_DisplayArrayInTable(Fertiliser_SourceData.Fertiliser_Products_Data1(), FertiliserProducts[[#Headers],[Company]],1)</f>
        <v>9.4E-2</v>
      </c>
      <c r="S98" s="148" t="str" cm="1">
        <f t="array" ref="S98">Common_InputFunctions.Utility_DisplayArrayInTable(Fertiliser_SourceData.Fertiliser_Products_Data1(), FertiliserProducts[[#Headers],[Company]],1)</f>
        <v>Potassium - Generic</v>
      </c>
      <c r="T98" s="148" cm="1">
        <f t="array" ref="T98">Common_InputFunctions.Utility_DisplayArrayInTable(Fertiliser_SourceData.Fertiliser_Products_Data1(), FertiliserProducts[[#Headers],[Company]],1)</f>
        <v>0.04</v>
      </c>
      <c r="U98" s="148" t="str" cm="1">
        <f t="array" ref="U98">Common_InputFunctions.Utility_DisplayArrayInTable(Fertiliser_SourceData.Fertiliser_Products_Data1(), FertiliserProducts[[#Headers],[Company]],1)</f>
        <v>Sulfur - Generic</v>
      </c>
      <c r="V98" s="148" cm="1">
        <f t="array" ref="V98">Common_InputFunctions.Utility_DisplayArrayInTable(Fertiliser_SourceData.Fertiliser_Products_Data1(), FertiliserProducts[[#Headers],[Company]],1)</f>
        <v>0.03</v>
      </c>
      <c r="W98" s="148" t="str" cm="1">
        <f t="array" ref="W98">Common_InputFunctions.Utility_DisplayArrayInTable(Fertiliser_SourceData.Fertiliser_Products_Data1(), FertiliserProducts[[#Headers],[Company]],1)</f>
        <v/>
      </c>
      <c r="X98" s="148" t="str" cm="1">
        <f t="array" ref="X98">Common_InputFunctions.Utility_DisplayArrayInTable(Fertiliser_SourceData.Fertiliser_Products_Data1(), FertiliserProducts[[#Headers],[Company]],1)</f>
        <v/>
      </c>
      <c r="Y98" s="148" t="str" cm="1">
        <f t="array" ref="Y98">Common_InputFunctions.Utility_DisplayArrayInTable(Fertiliser_SourceData.Fertiliser_Products_Data1(), FertiliserProducts[[#Headers],[Company]],1)</f>
        <v/>
      </c>
      <c r="Z98" s="148" t="str" cm="1">
        <f t="array" ref="Z98">Common_InputFunctions.Utility_DisplayArrayInTable(Fertiliser_SourceData.Fertiliser_Products_Data1(), FertiliserProducts[[#Headers],[Company]],1)</f>
        <v/>
      </c>
      <c r="AA98" s="148" t="str" cm="1">
        <f t="array" ref="AA98">Common_InputFunctions.Utility_DisplayArrayInTable(Fertiliser_SourceData.Fertiliser_Products_Data1(), FertiliserProducts[[#Headers],[Company]],1)</f>
        <v/>
      </c>
      <c r="AB98" s="148" t="str" cm="1">
        <f t="array" ref="AB98">Common_InputFunctions.Utility_DisplayArrayInTable(Fertiliser_SourceData.Fertiliser_Products_Data1(), FertiliserProducts[[#Headers],[Company]],1)</f>
        <v/>
      </c>
      <c r="AC98" s="148" t="str" cm="1">
        <f t="array" ref="AC98">Common_InputFunctions.Utility_DisplayArrayInTable(Fertiliser_SourceData.Fertiliser_Products_Data1(), FertiliserProducts[[#Headers],[Company]],1)</f>
        <v/>
      </c>
      <c r="AD98" s="148" t="str" cm="1">
        <f t="array" ref="AD98">Common_InputFunctions.Utility_DisplayArrayInTable(Fertiliser_SourceData.Fertiliser_Products_Data1(), FertiliserProducts[[#Headers],[Company]],1)</f>
        <v/>
      </c>
      <c r="AE98" s="148" t="str" cm="1">
        <f t="array" ref="AE98">Common_InputFunctions.Utility_DisplayArrayInTable(Fertiliser_SourceData.Fertiliser_Products_Data1(), FertiliserProducts[[#Headers],[Company]],1)</f>
        <v/>
      </c>
      <c r="AF98" s="148" t="str" cm="1">
        <f t="array" ref="AF98">Common_InputFunctions.Utility_DisplayArrayInTable(Fertiliser_SourceData.Fertiliser_Products_Data1(), FertiliserProducts[[#Headers],[Company]],1)</f>
        <v/>
      </c>
      <c r="AG98" s="148" t="str" cm="1">
        <f t="array" ref="AG98">Common_InputFunctions.Utility_DisplayArrayInTable(Fertiliser_SourceData.Fertiliser_Products_Data1(), FertiliserProducts[[#Headers],[Company]],1)</f>
        <v/>
      </c>
      <c r="AH98" s="148" t="str" cm="1">
        <f t="array" ref="AH98">Common_InputFunctions.Utility_DisplayArrayInTable(Fertiliser_SourceData.Fertiliser_Products_Data1(), FertiliserProducts[[#Headers],[Company]],1)</f>
        <v/>
      </c>
      <c r="AK98" s="1"/>
      <c r="AL98" s="1"/>
      <c r="AM98" s="1"/>
    </row>
    <row r="99" spans="1:39" ht="20.100000000000001" customHeight="1" x14ac:dyDescent="0.2">
      <c r="D99" s="148" t="str" cm="1">
        <f t="array" ref="D99">Common_InputFunctions.Utility_DisplayArrayInTable(Fertiliser_SourceData.Fertiliser_Products_Data1(), FertiliserProducts[[#Headers],[Company]],1)</f>
        <v>Campbells fertilisers Australia</v>
      </c>
      <c r="E99" s="148" t="str" cm="1">
        <f t="array" ref="E99">Common_InputFunctions.Utility_DisplayArrayInTable(Fertiliser_SourceData.Fertiliser_Products_Data1(), FertiliserProducts[[#Headers],[Company]],1)</f>
        <v>Aqua Thio-Flourish</v>
      </c>
      <c r="F99" s="148" t="str" cm="1">
        <f t="array" ref="F99">Common_InputFunctions.Utility_DisplayArrayInTable(Fertiliser_SourceData.Fertiliser_Products_Data1(), FertiliserProducts[[#Headers],[Company]],1)</f>
        <v>L</v>
      </c>
      <c r="G99" s="148" cm="1">
        <f t="array" ref="G99">Common_InputFunctions.Utility_DisplayArrayInTable(Fertiliser_SourceData.Fertiliser_Products_Data1(), FertiliserProducts[[#Headers],[Company]],1)</f>
        <v>1.32</v>
      </c>
      <c r="H99" s="148" t="str" cm="1">
        <f t="array" ref="H99">Common_InputFunctions.Utility_DisplayArrayInTable(Fertiliser_SourceData.Fertiliser_Products_Data1(), FertiliserProducts[[#Headers],[Company]],1)</f>
        <v/>
      </c>
      <c r="I99" s="148" t="str" cm="1">
        <f t="array" ref="I99">Common_InputFunctions.Utility_DisplayArrayInTable(Fertiliser_SourceData.Fertiliser_Products_Data1(), FertiliserProducts[[#Headers],[Company]],1)</f>
        <v/>
      </c>
      <c r="J99" s="148" t="str" cm="1">
        <f t="array" ref="J99">Common_InputFunctions.Utility_DisplayArrayInTable(Fertiliser_SourceData.Fertiliser_Products_Data1(), FertiliserProducts[[#Headers],[Company]],1)</f>
        <v/>
      </c>
      <c r="K99" s="148" cm="1">
        <f t="array" ref="K99">Common_InputFunctions.Utility_DisplayArrayInTable(Fertiliser_SourceData.Fertiliser_Products_Data1(), FertiliserProducts[[#Headers],[Company]],1)</f>
        <v>9.5</v>
      </c>
      <c r="L99" s="148" cm="1">
        <f t="array" ref="L99">Common_InputFunctions.Utility_DisplayArrayInTable(Fertiliser_SourceData.Fertiliser_Products_Data1(), FertiliserProducts[[#Headers],[Company]],1)</f>
        <v>4.7</v>
      </c>
      <c r="M99" s="148" cm="1">
        <f t="array" ref="M99">Common_InputFunctions.Utility_DisplayArrayInTable(Fertiliser_SourceData.Fertiliser_Products_Data1(), FertiliserProducts[[#Headers],[Company]],1)</f>
        <v>10.8</v>
      </c>
      <c r="N99" s="148" cm="1">
        <f t="array" ref="N99">Common_InputFunctions.Utility_DisplayArrayInTable(Fertiliser_SourceData.Fertiliser_Products_Data1(), FertiliserProducts[[#Headers],[Company]],1)</f>
        <v>8.1</v>
      </c>
      <c r="O99" s="148" t="str" cm="1">
        <f t="array" ref="O99">Common_InputFunctions.Utility_DisplayArrayInTable(Fertiliser_SourceData.Fertiliser_Products_Data1(), FertiliserProducts[[#Headers],[Company]],1)</f>
        <v>Potassium - Generic</v>
      </c>
      <c r="P99" s="148" cm="1">
        <f t="array" ref="P99">Common_InputFunctions.Utility_DisplayArrayInTable(Fertiliser_SourceData.Fertiliser_Products_Data1(), FertiliserProducts[[#Headers],[Company]],1)</f>
        <v>0.108</v>
      </c>
      <c r="Q99" s="148" t="str" cm="1">
        <f t="array" ref="Q99">Common_InputFunctions.Utility_DisplayArrayInTable(Fertiliser_SourceData.Fertiliser_Products_Data1(), FertiliserProducts[[#Headers],[Company]],1)</f>
        <v>Nitrogen - Generic</v>
      </c>
      <c r="R99" s="148" cm="1">
        <f t="array" ref="R99">Common_InputFunctions.Utility_DisplayArrayInTable(Fertiliser_SourceData.Fertiliser_Products_Data1(), FertiliserProducts[[#Headers],[Company]],1)</f>
        <v>9.5000000000000001E-2</v>
      </c>
      <c r="S99" s="148" t="str" cm="1">
        <f t="array" ref="S99">Common_InputFunctions.Utility_DisplayArrayInTable(Fertiliser_SourceData.Fertiliser_Products_Data1(), FertiliserProducts[[#Headers],[Company]],1)</f>
        <v>Sulfur - Generic</v>
      </c>
      <c r="T99" s="148" cm="1">
        <f t="array" ref="T99">Common_InputFunctions.Utility_DisplayArrayInTable(Fertiliser_SourceData.Fertiliser_Products_Data1(), FertiliserProducts[[#Headers],[Company]],1)</f>
        <v>8.1000000000000003E-2</v>
      </c>
      <c r="U99" s="148" t="str" cm="1">
        <f t="array" ref="U99">Common_InputFunctions.Utility_DisplayArrayInTable(Fertiliser_SourceData.Fertiliser_Products_Data1(), FertiliserProducts[[#Headers],[Company]],1)</f>
        <v>Phosphorus - Generic</v>
      </c>
      <c r="V99" s="148" cm="1">
        <f t="array" ref="V99">Common_InputFunctions.Utility_DisplayArrayInTable(Fertiliser_SourceData.Fertiliser_Products_Data1(), FertiliserProducts[[#Headers],[Company]],1)</f>
        <v>4.7E-2</v>
      </c>
      <c r="W99" s="148" t="str" cm="1">
        <f t="array" ref="W99">Common_InputFunctions.Utility_DisplayArrayInTable(Fertiliser_SourceData.Fertiliser_Products_Data1(), FertiliserProducts[[#Headers],[Company]],1)</f>
        <v/>
      </c>
      <c r="X99" s="148" t="str" cm="1">
        <f t="array" ref="X99">Common_InputFunctions.Utility_DisplayArrayInTable(Fertiliser_SourceData.Fertiliser_Products_Data1(), FertiliserProducts[[#Headers],[Company]],1)</f>
        <v/>
      </c>
      <c r="Y99" s="148" t="str" cm="1">
        <f t="array" ref="Y99">Common_InputFunctions.Utility_DisplayArrayInTable(Fertiliser_SourceData.Fertiliser_Products_Data1(), FertiliserProducts[[#Headers],[Company]],1)</f>
        <v/>
      </c>
      <c r="Z99" s="148" t="str" cm="1">
        <f t="array" ref="Z99">Common_InputFunctions.Utility_DisplayArrayInTable(Fertiliser_SourceData.Fertiliser_Products_Data1(), FertiliserProducts[[#Headers],[Company]],1)</f>
        <v/>
      </c>
      <c r="AA99" s="148" t="str" cm="1">
        <f t="array" ref="AA99">Common_InputFunctions.Utility_DisplayArrayInTable(Fertiliser_SourceData.Fertiliser_Products_Data1(), FertiliserProducts[[#Headers],[Company]],1)</f>
        <v/>
      </c>
      <c r="AB99" s="148" t="str" cm="1">
        <f t="array" ref="AB99">Common_InputFunctions.Utility_DisplayArrayInTable(Fertiliser_SourceData.Fertiliser_Products_Data1(), FertiliserProducts[[#Headers],[Company]],1)</f>
        <v/>
      </c>
      <c r="AC99" s="148" t="str" cm="1">
        <f t="array" ref="AC99">Common_InputFunctions.Utility_DisplayArrayInTable(Fertiliser_SourceData.Fertiliser_Products_Data1(), FertiliserProducts[[#Headers],[Company]],1)</f>
        <v/>
      </c>
      <c r="AD99" s="148" t="str" cm="1">
        <f t="array" ref="AD99">Common_InputFunctions.Utility_DisplayArrayInTable(Fertiliser_SourceData.Fertiliser_Products_Data1(), FertiliserProducts[[#Headers],[Company]],1)</f>
        <v/>
      </c>
      <c r="AE99" s="148" t="str" cm="1">
        <f t="array" ref="AE99">Common_InputFunctions.Utility_DisplayArrayInTable(Fertiliser_SourceData.Fertiliser_Products_Data1(), FertiliserProducts[[#Headers],[Company]],1)</f>
        <v/>
      </c>
      <c r="AF99" s="148" t="str" cm="1">
        <f t="array" ref="AF99">Common_InputFunctions.Utility_DisplayArrayInTable(Fertiliser_SourceData.Fertiliser_Products_Data1(), FertiliserProducts[[#Headers],[Company]],1)</f>
        <v/>
      </c>
      <c r="AG99" s="148" t="str" cm="1">
        <f t="array" ref="AG99">Common_InputFunctions.Utility_DisplayArrayInTable(Fertiliser_SourceData.Fertiliser_Products_Data1(), FertiliserProducts[[#Headers],[Company]],1)</f>
        <v/>
      </c>
      <c r="AH99" s="148" t="str" cm="1">
        <f t="array" ref="AH99">Common_InputFunctions.Utility_DisplayArrayInTable(Fertiliser_SourceData.Fertiliser_Products_Data1(), FertiliserProducts[[#Headers],[Company]],1)</f>
        <v/>
      </c>
      <c r="AK99" s="1"/>
      <c r="AL99" s="1"/>
      <c r="AM99" s="1"/>
    </row>
    <row r="100" spans="1:39" ht="20.100000000000001" customHeight="1" x14ac:dyDescent="0.2">
      <c r="D100" s="148" t="str" cm="1">
        <f t="array" ref="D100">Common_InputFunctions.Utility_DisplayArrayInTable(Fertiliser_SourceData.Fertiliser_Products_Data1(), FertiliserProducts[[#Headers],[Company]],1)</f>
        <v>Campbells fertilisers Australia</v>
      </c>
      <c r="E100" s="148" t="str" cm="1">
        <f t="array" ref="E100">Common_InputFunctions.Utility_DisplayArrayInTable(Fertiliser_SourceData.Fertiliser_Products_Data1(), FertiliserProducts[[#Headers],[Company]],1)</f>
        <v>Boost-It</v>
      </c>
      <c r="F100" s="148" t="str" cm="1">
        <f t="array" ref="F100">Common_InputFunctions.Utility_DisplayArrayInTable(Fertiliser_SourceData.Fertiliser_Products_Data1(), FertiliserProducts[[#Headers],[Company]],1)</f>
        <v>kg</v>
      </c>
      <c r="G100" s="148" cm="1">
        <f t="array" ref="G100">Common_InputFunctions.Utility_DisplayArrayInTable(Fertiliser_SourceData.Fertiliser_Products_Data1(), FertiliserProducts[[#Headers],[Company]],1)</f>
        <v>1</v>
      </c>
      <c r="H100" s="148" t="str" cm="1">
        <f t="array" ref="H100">Common_InputFunctions.Utility_DisplayArrayInTable(Fertiliser_SourceData.Fertiliser_Products_Data1(), FertiliserProducts[[#Headers],[Company]],1)</f>
        <v/>
      </c>
      <c r="I100" s="148" t="str" cm="1">
        <f t="array" ref="I100">Common_InputFunctions.Utility_DisplayArrayInTable(Fertiliser_SourceData.Fertiliser_Products_Data1(), FertiliserProducts[[#Headers],[Company]],1)</f>
        <v/>
      </c>
      <c r="J100" s="148" t="str" cm="1">
        <f t="array" ref="J100">Common_InputFunctions.Utility_DisplayArrayInTable(Fertiliser_SourceData.Fertiliser_Products_Data1(), FertiliserProducts[[#Headers],[Company]],1)</f>
        <v/>
      </c>
      <c r="K100" s="148" cm="1">
        <f t="array" ref="K100">Common_InputFunctions.Utility_DisplayArrayInTable(Fertiliser_SourceData.Fertiliser_Products_Data1(), FertiliserProducts[[#Headers],[Company]],1)</f>
        <v>24</v>
      </c>
      <c r="L100" s="148" cm="1">
        <f t="array" ref="L100">Common_InputFunctions.Utility_DisplayArrayInTable(Fertiliser_SourceData.Fertiliser_Products_Data1(), FertiliserProducts[[#Headers],[Company]],1)</f>
        <v>5.2</v>
      </c>
      <c r="M100" s="148" cm="1">
        <f t="array" ref="M100">Common_InputFunctions.Utility_DisplayArrayInTable(Fertiliser_SourceData.Fertiliser_Products_Data1(), FertiliserProducts[[#Headers],[Company]],1)</f>
        <v>8</v>
      </c>
      <c r="N100" s="148" cm="1">
        <f t="array" ref="N100">Common_InputFunctions.Utility_DisplayArrayInTable(Fertiliser_SourceData.Fertiliser_Products_Data1(), FertiliserProducts[[#Headers],[Company]],1)</f>
        <v>5.3</v>
      </c>
      <c r="O100" s="148" t="str" cm="1">
        <f t="array" ref="O100">Common_InputFunctions.Utility_DisplayArrayInTable(Fertiliser_SourceData.Fertiliser_Products_Data1(), FertiliserProducts[[#Headers],[Company]],1)</f>
        <v>Urea</v>
      </c>
      <c r="P100" s="148" cm="1">
        <f t="array" ref="P100">Common_InputFunctions.Utility_DisplayArrayInTable(Fertiliser_SourceData.Fertiliser_Products_Data1(), FertiliserProducts[[#Headers],[Company]],1)</f>
        <v>0.52173899999999995</v>
      </c>
      <c r="Q100" s="148" t="str" cm="1">
        <f t="array" ref="Q100">Common_InputFunctions.Utility_DisplayArrayInTable(Fertiliser_SourceData.Fertiliser_Products_Data1(), FertiliserProducts[[#Headers],[Company]],1)</f>
        <v>Potassium - Generic</v>
      </c>
      <c r="R100" s="148" cm="1">
        <f t="array" ref="R100">Common_InputFunctions.Utility_DisplayArrayInTable(Fertiliser_SourceData.Fertiliser_Products_Data1(), FertiliserProducts[[#Headers],[Company]],1)</f>
        <v>0.08</v>
      </c>
      <c r="S100" s="148" t="str" cm="1">
        <f t="array" ref="S100">Common_InputFunctions.Utility_DisplayArrayInTable(Fertiliser_SourceData.Fertiliser_Products_Data1(), FertiliserProducts[[#Headers],[Company]],1)</f>
        <v>Sulfur - Generic</v>
      </c>
      <c r="T100" s="148" cm="1">
        <f t="array" ref="T100">Common_InputFunctions.Utility_DisplayArrayInTable(Fertiliser_SourceData.Fertiliser_Products_Data1(), FertiliserProducts[[#Headers],[Company]],1)</f>
        <v>5.2999999999999999E-2</v>
      </c>
      <c r="U100" s="148" t="str" cm="1">
        <f t="array" ref="U100">Common_InputFunctions.Utility_DisplayArrayInTable(Fertiliser_SourceData.Fertiliser_Products_Data1(), FertiliserProducts[[#Headers],[Company]],1)</f>
        <v>Phosphorus - Generic</v>
      </c>
      <c r="V100" s="148" cm="1">
        <f t="array" ref="V100">Common_InputFunctions.Utility_DisplayArrayInTable(Fertiliser_SourceData.Fertiliser_Products_Data1(), FertiliserProducts[[#Headers],[Company]],1)</f>
        <v>5.1999999999999998E-2</v>
      </c>
      <c r="W100" s="148" t="str" cm="1">
        <f t="array" ref="W100">Common_InputFunctions.Utility_DisplayArrayInTable(Fertiliser_SourceData.Fertiliser_Products_Data1(), FertiliserProducts[[#Headers],[Company]],1)</f>
        <v>Magnesium</v>
      </c>
      <c r="X100" s="148" cm="1">
        <f t="array" ref="X100">Common_InputFunctions.Utility_DisplayArrayInTable(Fertiliser_SourceData.Fertiliser_Products_Data1(), FertiliserProducts[[#Headers],[Company]],1)</f>
        <v>1.2999999999999999E-2</v>
      </c>
      <c r="Y100" s="148" t="str" cm="1">
        <f t="array" ref="Y100">Common_InputFunctions.Utility_DisplayArrayInTable(Fertiliser_SourceData.Fertiliser_Products_Data1(), FertiliserProducts[[#Headers],[Company]],1)</f>
        <v>Zinc</v>
      </c>
      <c r="Z100" s="148" cm="1">
        <f t="array" ref="Z100">Common_InputFunctions.Utility_DisplayArrayInTable(Fertiliser_SourceData.Fertiliser_Products_Data1(), FertiliserProducts[[#Headers],[Company]],1)</f>
        <v>2E-3</v>
      </c>
      <c r="AA100" s="148" t="str" cm="1">
        <f t="array" ref="AA100">Common_InputFunctions.Utility_DisplayArrayInTable(Fertiliser_SourceData.Fertiliser_Products_Data1(), FertiliserProducts[[#Headers],[Company]],1)</f>
        <v>Manganese</v>
      </c>
      <c r="AB100" s="148" cm="1">
        <f t="array" ref="AB100">Common_InputFunctions.Utility_DisplayArrayInTable(Fertiliser_SourceData.Fertiliser_Products_Data1(), FertiliserProducts[[#Headers],[Company]],1)</f>
        <v>3.5000000000000001E-3</v>
      </c>
      <c r="AC100" s="148" t="str" cm="1">
        <f t="array" ref="AC100">Common_InputFunctions.Utility_DisplayArrayInTable(Fertiliser_SourceData.Fertiliser_Products_Data1(), FertiliserProducts[[#Headers],[Company]],1)</f>
        <v>Iron</v>
      </c>
      <c r="AD100" s="148" cm="1">
        <f t="array" ref="AD100">Common_InputFunctions.Utility_DisplayArrayInTable(Fertiliser_SourceData.Fertiliser_Products_Data1(), FertiliserProducts[[#Headers],[Company]],1)</f>
        <v>1.2999999999999999E-3</v>
      </c>
      <c r="AE100" s="148" t="str" cm="1">
        <f t="array" ref="AE100">Common_InputFunctions.Utility_DisplayArrayInTable(Fertiliser_SourceData.Fertiliser_Products_Data1(), FertiliserProducts[[#Headers],[Company]],1)</f>
        <v>Copper</v>
      </c>
      <c r="AF100" s="148" cm="1">
        <f t="array" ref="AF100">Common_InputFunctions.Utility_DisplayArrayInTable(Fertiliser_SourceData.Fertiliser_Products_Data1(), FertiliserProducts[[#Headers],[Company]],1)</f>
        <v>6.9999999999999999E-4</v>
      </c>
      <c r="AG100" s="148" t="str" cm="1">
        <f t="array" ref="AG100">Common_InputFunctions.Utility_DisplayArrayInTable(Fertiliser_SourceData.Fertiliser_Products_Data1(), FertiliserProducts[[#Headers],[Company]],1)</f>
        <v>Boron</v>
      </c>
      <c r="AH100" s="148" cm="1">
        <f t="array" ref="AH100">Common_InputFunctions.Utility_DisplayArrayInTable(Fertiliser_SourceData.Fertiliser_Products_Data1(), FertiliserProducts[[#Headers],[Company]],1)</f>
        <v>6.9999999999999999E-4</v>
      </c>
      <c r="AK100" s="1"/>
      <c r="AL100" s="1"/>
      <c r="AM100" s="1"/>
    </row>
    <row r="101" spans="1:39" ht="20.100000000000001" customHeight="1" x14ac:dyDescent="0.2">
      <c r="D101" s="148" t="str" cm="1">
        <f t="array" ref="D101">Common_InputFunctions.Utility_DisplayArrayInTable(Fertiliser_SourceData.Fertiliser_Products_Data1(), FertiliserProducts[[#Headers],[Company]],1)</f>
        <v>Campbells fertilisers Australia</v>
      </c>
      <c r="E101" s="148" t="str" cm="1">
        <f t="array" ref="E101">Common_InputFunctions.Utility_DisplayArrayInTable(Fertiliser_SourceData.Fertiliser_Products_Data1(), FertiliserProducts[[#Headers],[Company]],1)</f>
        <v>Bronze</v>
      </c>
      <c r="F101" s="148" t="str" cm="1">
        <f t="array" ref="F101">Common_InputFunctions.Utility_DisplayArrayInTable(Fertiliser_SourceData.Fertiliser_Products_Data1(), FertiliserProducts[[#Headers],[Company]],1)</f>
        <v>kg</v>
      </c>
      <c r="G101" s="148" cm="1">
        <f t="array" ref="G101">Common_InputFunctions.Utility_DisplayArrayInTable(Fertiliser_SourceData.Fertiliser_Products_Data1(), FertiliserProducts[[#Headers],[Company]],1)</f>
        <v>1</v>
      </c>
      <c r="H101" s="148" t="str" cm="1">
        <f t="array" ref="H101">Common_InputFunctions.Utility_DisplayArrayInTable(Fertiliser_SourceData.Fertiliser_Products_Data1(), FertiliserProducts[[#Headers],[Company]],1)</f>
        <v/>
      </c>
      <c r="I101" s="148" t="str" cm="1">
        <f t="array" ref="I101">Common_InputFunctions.Utility_DisplayArrayInTable(Fertiliser_SourceData.Fertiliser_Products_Data1(), FertiliserProducts[[#Headers],[Company]],1)</f>
        <v/>
      </c>
      <c r="J101" s="148" t="str" cm="1">
        <f t="array" ref="J101">Common_InputFunctions.Utility_DisplayArrayInTable(Fertiliser_SourceData.Fertiliser_Products_Data1(), FertiliserProducts[[#Headers],[Company]],1)</f>
        <v/>
      </c>
      <c r="K101" s="148" cm="1">
        <f t="array" ref="K101">Common_InputFunctions.Utility_DisplayArrayInTable(Fertiliser_SourceData.Fertiliser_Products_Data1(), FertiliserProducts[[#Headers],[Company]],1)</f>
        <v>17</v>
      </c>
      <c r="L101" s="148" cm="1">
        <f t="array" ref="L101">Common_InputFunctions.Utility_DisplayArrayInTable(Fertiliser_SourceData.Fertiliser_Products_Data1(), FertiliserProducts[[#Headers],[Company]],1)</f>
        <v>0.04</v>
      </c>
      <c r="M101" s="148" cm="1">
        <f t="array" ref="M101">Common_InputFunctions.Utility_DisplayArrayInTable(Fertiliser_SourceData.Fertiliser_Products_Data1(), FertiliserProducts[[#Headers],[Company]],1)</f>
        <v>11.6</v>
      </c>
      <c r="N101" s="148" cm="1">
        <f t="array" ref="N101">Common_InputFunctions.Utility_DisplayArrayInTable(Fertiliser_SourceData.Fertiliser_Products_Data1(), FertiliserProducts[[#Headers],[Company]],1)</f>
        <v>0.5</v>
      </c>
      <c r="O101" s="148" t="str" cm="1">
        <f t="array" ref="O101">Common_InputFunctions.Utility_DisplayArrayInTable(Fertiliser_SourceData.Fertiliser_Products_Data1(), FertiliserProducts[[#Headers],[Company]],1)</f>
        <v>Muriate of potash (MOP)</v>
      </c>
      <c r="P101" s="148" cm="1">
        <f t="array" ref="P101">Common_InputFunctions.Utility_DisplayArrayInTable(Fertiliser_SourceData.Fertiliser_Products_Data1(), FertiliserProducts[[#Headers],[Company]],1)</f>
        <v>0.23200000000000001</v>
      </c>
      <c r="Q101" s="148" t="str" cm="1">
        <f t="array" ref="Q101">Common_InputFunctions.Utility_DisplayArrayInTable(Fertiliser_SourceData.Fertiliser_Products_Data1(), FertiliserProducts[[#Headers],[Company]],1)</f>
        <v>Nitrogen - Generic</v>
      </c>
      <c r="R101" s="148" cm="1">
        <f t="array" ref="R101">Common_InputFunctions.Utility_DisplayArrayInTable(Fertiliser_SourceData.Fertiliser_Products_Data1(), FertiliserProducts[[#Headers],[Company]],1)</f>
        <v>0.17</v>
      </c>
      <c r="S101" s="148" t="str" cm="1">
        <f t="array" ref="S101">Common_InputFunctions.Utility_DisplayArrayInTable(Fertiliser_SourceData.Fertiliser_Products_Data1(), FertiliserProducts[[#Headers],[Company]],1)</f>
        <v>Sulfur - Generic</v>
      </c>
      <c r="T101" s="148" cm="1">
        <f t="array" ref="T101">Common_InputFunctions.Utility_DisplayArrayInTable(Fertiliser_SourceData.Fertiliser_Products_Data1(), FertiliserProducts[[#Headers],[Company]],1)</f>
        <v>5.0000000000000001E-3</v>
      </c>
      <c r="U101" s="148" t="str" cm="1">
        <f t="array" ref="U101">Common_InputFunctions.Utility_DisplayArrayInTable(Fertiliser_SourceData.Fertiliser_Products_Data1(), FertiliserProducts[[#Headers],[Company]],1)</f>
        <v>Magnesium</v>
      </c>
      <c r="V101" s="148" cm="1">
        <f t="array" ref="V101">Common_InputFunctions.Utility_DisplayArrayInTable(Fertiliser_SourceData.Fertiliser_Products_Data1(), FertiliserProducts[[#Headers],[Company]],1)</f>
        <v>2.3999999999999998E-3</v>
      </c>
      <c r="W101" s="148" t="str" cm="1">
        <f t="array" ref="W101">Common_InputFunctions.Utility_DisplayArrayInTable(Fertiliser_SourceData.Fertiliser_Products_Data1(), FertiliserProducts[[#Headers],[Company]],1)</f>
        <v>Phosphorus - Generic</v>
      </c>
      <c r="X101" s="148" cm="1">
        <f t="array" ref="X101">Common_InputFunctions.Utility_DisplayArrayInTable(Fertiliser_SourceData.Fertiliser_Products_Data1(), FertiliserProducts[[#Headers],[Company]],1)</f>
        <v>4.0000000000000002E-4</v>
      </c>
      <c r="Y101" s="148" t="str" cm="1">
        <f t="array" ref="Y101">Common_InputFunctions.Utility_DisplayArrayInTable(Fertiliser_SourceData.Fertiliser_Products_Data1(), FertiliserProducts[[#Headers],[Company]],1)</f>
        <v/>
      </c>
      <c r="Z101" s="148" t="str" cm="1">
        <f t="array" ref="Z101">Common_InputFunctions.Utility_DisplayArrayInTable(Fertiliser_SourceData.Fertiliser_Products_Data1(), FertiliserProducts[[#Headers],[Company]],1)</f>
        <v/>
      </c>
      <c r="AA101" s="148" t="str" cm="1">
        <f t="array" ref="AA101">Common_InputFunctions.Utility_DisplayArrayInTable(Fertiliser_SourceData.Fertiliser_Products_Data1(), FertiliserProducts[[#Headers],[Company]],1)</f>
        <v/>
      </c>
      <c r="AB101" s="148" t="str" cm="1">
        <f t="array" ref="AB101">Common_InputFunctions.Utility_DisplayArrayInTable(Fertiliser_SourceData.Fertiliser_Products_Data1(), FertiliserProducts[[#Headers],[Company]],1)</f>
        <v/>
      </c>
      <c r="AC101" s="148" t="str" cm="1">
        <f t="array" ref="AC101">Common_InputFunctions.Utility_DisplayArrayInTable(Fertiliser_SourceData.Fertiliser_Products_Data1(), FertiliserProducts[[#Headers],[Company]],1)</f>
        <v/>
      </c>
      <c r="AD101" s="148" t="str" cm="1">
        <f t="array" ref="AD101">Common_InputFunctions.Utility_DisplayArrayInTable(Fertiliser_SourceData.Fertiliser_Products_Data1(), FertiliserProducts[[#Headers],[Company]],1)</f>
        <v/>
      </c>
      <c r="AE101" s="148" t="str" cm="1">
        <f t="array" ref="AE101">Common_InputFunctions.Utility_DisplayArrayInTable(Fertiliser_SourceData.Fertiliser_Products_Data1(), FertiliserProducts[[#Headers],[Company]],1)</f>
        <v/>
      </c>
      <c r="AF101" s="148" t="str" cm="1">
        <f t="array" ref="AF101">Common_InputFunctions.Utility_DisplayArrayInTable(Fertiliser_SourceData.Fertiliser_Products_Data1(), FertiliserProducts[[#Headers],[Company]],1)</f>
        <v/>
      </c>
      <c r="AG101" s="148" t="str" cm="1">
        <f t="array" ref="AG101">Common_InputFunctions.Utility_DisplayArrayInTable(Fertiliser_SourceData.Fertiliser_Products_Data1(), FertiliserProducts[[#Headers],[Company]],1)</f>
        <v/>
      </c>
      <c r="AH101" s="148" t="str" cm="1">
        <f t="array" ref="AH101">Common_InputFunctions.Utility_DisplayArrayInTable(Fertiliser_SourceData.Fertiliser_Products_Data1(), FertiliserProducts[[#Headers],[Company]],1)</f>
        <v/>
      </c>
      <c r="AK101" s="1"/>
      <c r="AL101" s="1"/>
      <c r="AM101" s="1"/>
    </row>
    <row r="102" spans="1:39" ht="20.100000000000001" customHeight="1" x14ac:dyDescent="0.2">
      <c r="D102" s="148" t="str" cm="1">
        <f t="array" ref="D102">Common_InputFunctions.Utility_DisplayArrayInTable(Fertiliser_SourceData.Fertiliser_Products_Data1(), FertiliserProducts[[#Headers],[Company]],1)</f>
        <v>Campbells fertilisers Australia</v>
      </c>
      <c r="E102" s="148" t="str" cm="1">
        <f t="array" ref="E102">Common_InputFunctions.Utility_DisplayArrayInTable(Fertiliser_SourceData.Fertiliser_Products_Data1(), FertiliserProducts[[#Headers],[Company]],1)</f>
        <v>Calbit C</v>
      </c>
      <c r="F102" s="148" t="str" cm="1">
        <f t="array" ref="F102">Common_InputFunctions.Utility_DisplayArrayInTable(Fertiliser_SourceData.Fertiliser_Products_Data1(), FertiliserProducts[[#Headers],[Company]],1)</f>
        <v>L</v>
      </c>
      <c r="G102" s="148" cm="1">
        <f t="array" ref="G102">Common_InputFunctions.Utility_DisplayArrayInTable(Fertiliser_SourceData.Fertiliser_Products_Data1(), FertiliserProducts[[#Headers],[Company]],1)</f>
        <v>1.45</v>
      </c>
      <c r="H102" s="148" t="str" cm="1">
        <f t="array" ref="H102">Common_InputFunctions.Utility_DisplayArrayInTable(Fertiliser_SourceData.Fertiliser_Products_Data1(), FertiliserProducts[[#Headers],[Company]],1)</f>
        <v/>
      </c>
      <c r="I102" s="148" t="str" cm="1">
        <f t="array" ref="I102">Common_InputFunctions.Utility_DisplayArrayInTable(Fertiliser_SourceData.Fertiliser_Products_Data1(), FertiliserProducts[[#Headers],[Company]],1)</f>
        <v/>
      </c>
      <c r="J102" s="148" t="str" cm="1">
        <f t="array" ref="J102">Common_InputFunctions.Utility_DisplayArrayInTable(Fertiliser_SourceData.Fertiliser_Products_Data1(), FertiliserProducts[[#Headers],[Company]],1)</f>
        <v/>
      </c>
      <c r="K102" s="148" t="str" cm="1">
        <f t="array" ref="K102">Common_InputFunctions.Utility_DisplayArrayInTable(Fertiliser_SourceData.Fertiliser_Products_Data1(), FertiliserProducts[[#Headers],[Company]],1)</f>
        <v/>
      </c>
      <c r="L102" s="148" t="str" cm="1">
        <f t="array" ref="L102">Common_InputFunctions.Utility_DisplayArrayInTable(Fertiliser_SourceData.Fertiliser_Products_Data1(), FertiliserProducts[[#Headers],[Company]],1)</f>
        <v/>
      </c>
      <c r="M102" s="148" t="str" cm="1">
        <f t="array" ref="M102">Common_InputFunctions.Utility_DisplayArrayInTable(Fertiliser_SourceData.Fertiliser_Products_Data1(), FertiliserProducts[[#Headers],[Company]],1)</f>
        <v/>
      </c>
      <c r="N102" s="148" t="str" cm="1">
        <f t="array" ref="N102">Common_InputFunctions.Utility_DisplayArrayInTable(Fertiliser_SourceData.Fertiliser_Products_Data1(), FertiliserProducts[[#Headers],[Company]],1)</f>
        <v/>
      </c>
      <c r="O102" s="148" t="str" cm="1">
        <f t="array" ref="O102">Common_InputFunctions.Utility_DisplayArrayInTable(Fertiliser_SourceData.Fertiliser_Products_Data1(), FertiliserProducts[[#Headers],[Company]],1)</f>
        <v>Calcium</v>
      </c>
      <c r="P102" s="148" cm="1">
        <f t="array" ref="P102">Common_InputFunctions.Utility_DisplayArrayInTable(Fertiliser_SourceData.Fertiliser_Products_Data1(), FertiliserProducts[[#Headers],[Company]],1)</f>
        <v>0.107</v>
      </c>
      <c r="Q102" s="148" t="str" cm="1">
        <f t="array" ref="Q102">Common_InputFunctions.Utility_DisplayArrayInTable(Fertiliser_SourceData.Fertiliser_Products_Data1(), FertiliserProducts[[#Headers],[Company]],1)</f>
        <v/>
      </c>
      <c r="R102" s="148" t="str" cm="1">
        <f t="array" ref="R102">Common_InputFunctions.Utility_DisplayArrayInTable(Fertiliser_SourceData.Fertiliser_Products_Data1(), FertiliserProducts[[#Headers],[Company]],1)</f>
        <v/>
      </c>
      <c r="S102" s="148" t="str" cm="1">
        <f t="array" ref="S102">Common_InputFunctions.Utility_DisplayArrayInTable(Fertiliser_SourceData.Fertiliser_Products_Data1(), FertiliserProducts[[#Headers],[Company]],1)</f>
        <v/>
      </c>
      <c r="T102" s="148" t="str" cm="1">
        <f t="array" ref="T102">Common_InputFunctions.Utility_DisplayArrayInTable(Fertiliser_SourceData.Fertiliser_Products_Data1(), FertiliserProducts[[#Headers],[Company]],1)</f>
        <v/>
      </c>
      <c r="U102" s="148" t="str" cm="1">
        <f t="array" ref="U102">Common_InputFunctions.Utility_DisplayArrayInTable(Fertiliser_SourceData.Fertiliser_Products_Data1(), FertiliserProducts[[#Headers],[Company]],1)</f>
        <v/>
      </c>
      <c r="V102" s="148" t="str" cm="1">
        <f t="array" ref="V102">Common_InputFunctions.Utility_DisplayArrayInTable(Fertiliser_SourceData.Fertiliser_Products_Data1(), FertiliserProducts[[#Headers],[Company]],1)</f>
        <v/>
      </c>
      <c r="W102" s="148" t="str" cm="1">
        <f t="array" ref="W102">Common_InputFunctions.Utility_DisplayArrayInTable(Fertiliser_SourceData.Fertiliser_Products_Data1(), FertiliserProducts[[#Headers],[Company]],1)</f>
        <v/>
      </c>
      <c r="X102" s="148" t="str" cm="1">
        <f t="array" ref="X102">Common_InputFunctions.Utility_DisplayArrayInTable(Fertiliser_SourceData.Fertiliser_Products_Data1(), FertiliserProducts[[#Headers],[Company]],1)</f>
        <v/>
      </c>
      <c r="Y102" s="148" t="str" cm="1">
        <f t="array" ref="Y102">Common_InputFunctions.Utility_DisplayArrayInTable(Fertiliser_SourceData.Fertiliser_Products_Data1(), FertiliserProducts[[#Headers],[Company]],1)</f>
        <v/>
      </c>
      <c r="Z102" s="148" t="str" cm="1">
        <f t="array" ref="Z102">Common_InputFunctions.Utility_DisplayArrayInTable(Fertiliser_SourceData.Fertiliser_Products_Data1(), FertiliserProducts[[#Headers],[Company]],1)</f>
        <v/>
      </c>
      <c r="AA102" s="148" t="str" cm="1">
        <f t="array" ref="AA102">Common_InputFunctions.Utility_DisplayArrayInTable(Fertiliser_SourceData.Fertiliser_Products_Data1(), FertiliserProducts[[#Headers],[Company]],1)</f>
        <v/>
      </c>
      <c r="AB102" s="148" t="str" cm="1">
        <f t="array" ref="AB102">Common_InputFunctions.Utility_DisplayArrayInTable(Fertiliser_SourceData.Fertiliser_Products_Data1(), FertiliserProducts[[#Headers],[Company]],1)</f>
        <v/>
      </c>
      <c r="AC102" s="148" t="str" cm="1">
        <f t="array" ref="AC102">Common_InputFunctions.Utility_DisplayArrayInTable(Fertiliser_SourceData.Fertiliser_Products_Data1(), FertiliserProducts[[#Headers],[Company]],1)</f>
        <v/>
      </c>
      <c r="AD102" s="148" t="str" cm="1">
        <f t="array" ref="AD102">Common_InputFunctions.Utility_DisplayArrayInTable(Fertiliser_SourceData.Fertiliser_Products_Data1(), FertiliserProducts[[#Headers],[Company]],1)</f>
        <v/>
      </c>
      <c r="AE102" s="148" t="str" cm="1">
        <f t="array" ref="AE102">Common_InputFunctions.Utility_DisplayArrayInTable(Fertiliser_SourceData.Fertiliser_Products_Data1(), FertiliserProducts[[#Headers],[Company]],1)</f>
        <v/>
      </c>
      <c r="AF102" s="148" t="str" cm="1">
        <f t="array" ref="AF102">Common_InputFunctions.Utility_DisplayArrayInTable(Fertiliser_SourceData.Fertiliser_Products_Data1(), FertiliserProducts[[#Headers],[Company]],1)</f>
        <v/>
      </c>
      <c r="AG102" s="148" t="str" cm="1">
        <f t="array" ref="AG102">Common_InputFunctions.Utility_DisplayArrayInTable(Fertiliser_SourceData.Fertiliser_Products_Data1(), FertiliserProducts[[#Headers],[Company]],1)</f>
        <v/>
      </c>
      <c r="AH102" s="148" t="str" cm="1">
        <f t="array" ref="AH102">Common_InputFunctions.Utility_DisplayArrayInTable(Fertiliser_SourceData.Fertiliser_Products_Data1(), FertiliserProducts[[#Headers],[Company]],1)</f>
        <v/>
      </c>
      <c r="AK102" s="1"/>
      <c r="AL102" s="1"/>
      <c r="AM102" s="1"/>
    </row>
    <row r="103" spans="1:39" ht="20.100000000000001" customHeight="1" x14ac:dyDescent="0.2">
      <c r="D103" s="148" t="str" cm="1">
        <f t="array" ref="D103">Common_InputFunctions.Utility_DisplayArrayInTable(Fertiliser_SourceData.Fertiliser_Products_Data1(), FertiliserProducts[[#Headers],[Company]],1)</f>
        <v>Campbells fertilisers Australia</v>
      </c>
      <c r="E103" s="148" t="str" cm="1">
        <f t="array" ref="E103">Common_InputFunctions.Utility_DisplayArrayInTable(Fertiliser_SourceData.Fertiliser_Products_Data1(), FertiliserProducts[[#Headers],[Company]],1)</f>
        <v>Compass</v>
      </c>
      <c r="F103" s="148" t="str" cm="1">
        <f t="array" ref="F103">Common_InputFunctions.Utility_DisplayArrayInTable(Fertiliser_SourceData.Fertiliser_Products_Data1(), FertiliserProducts[[#Headers],[Company]],1)</f>
        <v>kg</v>
      </c>
      <c r="G103" s="148" cm="1">
        <f t="array" ref="G103">Common_InputFunctions.Utility_DisplayArrayInTable(Fertiliser_SourceData.Fertiliser_Products_Data1(), FertiliserProducts[[#Headers],[Company]],1)</f>
        <v>1</v>
      </c>
      <c r="H103" s="148" t="str" cm="1">
        <f t="array" ref="H103">Common_InputFunctions.Utility_DisplayArrayInTable(Fertiliser_SourceData.Fertiliser_Products_Data1(), FertiliserProducts[[#Headers],[Company]],1)</f>
        <v/>
      </c>
      <c r="I103" s="148" t="str" cm="1">
        <f t="array" ref="I103">Common_InputFunctions.Utility_DisplayArrayInTable(Fertiliser_SourceData.Fertiliser_Products_Data1(), FertiliserProducts[[#Headers],[Company]],1)</f>
        <v/>
      </c>
      <c r="J103" s="148" t="str" cm="1">
        <f t="array" ref="J103">Common_InputFunctions.Utility_DisplayArrayInTable(Fertiliser_SourceData.Fertiliser_Products_Data1(), FertiliserProducts[[#Headers],[Company]],1)</f>
        <v/>
      </c>
      <c r="K103" s="148" cm="1">
        <f t="array" ref="K103">Common_InputFunctions.Utility_DisplayArrayInTable(Fertiliser_SourceData.Fertiliser_Products_Data1(), FertiliserProducts[[#Headers],[Company]],1)</f>
        <v>15</v>
      </c>
      <c r="L103" s="148" cm="1">
        <f t="array" ref="L103">Common_InputFunctions.Utility_DisplayArrayInTable(Fertiliser_SourceData.Fertiliser_Products_Data1(), FertiliserProducts[[#Headers],[Company]],1)</f>
        <v>6.5</v>
      </c>
      <c r="M103" s="148" cm="1">
        <f t="array" ref="M103">Common_InputFunctions.Utility_DisplayArrayInTable(Fertiliser_SourceData.Fertiliser_Products_Data1(), FertiliserProducts[[#Headers],[Company]],1)</f>
        <v>12.5</v>
      </c>
      <c r="N103" s="148" cm="1">
        <f t="array" ref="N103">Common_InputFunctions.Utility_DisplayArrayInTable(Fertiliser_SourceData.Fertiliser_Products_Data1(), FertiliserProducts[[#Headers],[Company]],1)</f>
        <v>6</v>
      </c>
      <c r="O103" s="148" t="str" cm="1">
        <f t="array" ref="O103">Common_InputFunctions.Utility_DisplayArrayInTable(Fertiliser_SourceData.Fertiliser_Products_Data1(), FertiliserProducts[[#Headers],[Company]],1)</f>
        <v>Nitrogen - Ammoniacal</v>
      </c>
      <c r="P103" s="148" cm="1">
        <f t="array" ref="P103">Common_InputFunctions.Utility_DisplayArrayInTable(Fertiliser_SourceData.Fertiliser_Products_Data1(), FertiliserProducts[[#Headers],[Company]],1)</f>
        <v>7.4999999999999997E-2</v>
      </c>
      <c r="Q103" s="148" t="str" cm="1">
        <f t="array" ref="Q103">Common_InputFunctions.Utility_DisplayArrayInTable(Fertiliser_SourceData.Fertiliser_Products_Data1(), FertiliserProducts[[#Headers],[Company]],1)</f>
        <v>Nitrogen - Nitrate</v>
      </c>
      <c r="R103" s="148" cm="1">
        <f t="array" ref="R103">Common_InputFunctions.Utility_DisplayArrayInTable(Fertiliser_SourceData.Fertiliser_Products_Data1(), FertiliserProducts[[#Headers],[Company]],1)</f>
        <v>7.4999999999999997E-2</v>
      </c>
      <c r="S103" s="148" t="str" cm="1">
        <f t="array" ref="S103">Common_InputFunctions.Utility_DisplayArrayInTable(Fertiliser_SourceData.Fertiliser_Products_Data1(), FertiliserProducts[[#Headers],[Company]],1)</f>
        <v>Potassium - Generic</v>
      </c>
      <c r="T103" s="148" cm="1">
        <f t="array" ref="T103">Common_InputFunctions.Utility_DisplayArrayInTable(Fertiliser_SourceData.Fertiliser_Products_Data1(), FertiliserProducts[[#Headers],[Company]],1)</f>
        <v>0.125</v>
      </c>
      <c r="U103" s="148" t="str" cm="1">
        <f t="array" ref="U103">Common_InputFunctions.Utility_DisplayArrayInTable(Fertiliser_SourceData.Fertiliser_Products_Data1(), FertiliserProducts[[#Headers],[Company]],1)</f>
        <v>Phosphorus - Generic</v>
      </c>
      <c r="V103" s="148" cm="1">
        <f t="array" ref="V103">Common_InputFunctions.Utility_DisplayArrayInTable(Fertiliser_SourceData.Fertiliser_Products_Data1(), FertiliserProducts[[#Headers],[Company]],1)</f>
        <v>6.5000000000000002E-2</v>
      </c>
      <c r="W103" s="148" t="str" cm="1">
        <f t="array" ref="W103">Common_InputFunctions.Utility_DisplayArrayInTable(Fertiliser_SourceData.Fertiliser_Products_Data1(), FertiliserProducts[[#Headers],[Company]],1)</f>
        <v>Sulfur - Generic</v>
      </c>
      <c r="X103" s="148" cm="1">
        <f t="array" ref="X103">Common_InputFunctions.Utility_DisplayArrayInTable(Fertiliser_SourceData.Fertiliser_Products_Data1(), FertiliserProducts[[#Headers],[Company]],1)</f>
        <v>0.06</v>
      </c>
      <c r="Y103" s="148" t="str" cm="1">
        <f t="array" ref="Y103">Common_InputFunctions.Utility_DisplayArrayInTable(Fertiliser_SourceData.Fertiliser_Products_Data1(), FertiliserProducts[[#Headers],[Company]],1)</f>
        <v/>
      </c>
      <c r="Z103" s="148" t="str" cm="1">
        <f t="array" ref="Z103">Common_InputFunctions.Utility_DisplayArrayInTable(Fertiliser_SourceData.Fertiliser_Products_Data1(), FertiliserProducts[[#Headers],[Company]],1)</f>
        <v/>
      </c>
      <c r="AA103" s="148" t="str" cm="1">
        <f t="array" ref="AA103">Common_InputFunctions.Utility_DisplayArrayInTable(Fertiliser_SourceData.Fertiliser_Products_Data1(), FertiliserProducts[[#Headers],[Company]],1)</f>
        <v/>
      </c>
      <c r="AB103" s="148" t="str" cm="1">
        <f t="array" ref="AB103">Common_InputFunctions.Utility_DisplayArrayInTable(Fertiliser_SourceData.Fertiliser_Products_Data1(), FertiliserProducts[[#Headers],[Company]],1)</f>
        <v/>
      </c>
      <c r="AC103" s="148" t="str" cm="1">
        <f t="array" ref="AC103">Common_InputFunctions.Utility_DisplayArrayInTable(Fertiliser_SourceData.Fertiliser_Products_Data1(), FertiliserProducts[[#Headers],[Company]],1)</f>
        <v/>
      </c>
      <c r="AD103" s="148" t="str" cm="1">
        <f t="array" ref="AD103">Common_InputFunctions.Utility_DisplayArrayInTable(Fertiliser_SourceData.Fertiliser_Products_Data1(), FertiliserProducts[[#Headers],[Company]],1)</f>
        <v/>
      </c>
      <c r="AE103" s="148" t="str" cm="1">
        <f t="array" ref="AE103">Common_InputFunctions.Utility_DisplayArrayInTable(Fertiliser_SourceData.Fertiliser_Products_Data1(), FertiliserProducts[[#Headers],[Company]],1)</f>
        <v/>
      </c>
      <c r="AF103" s="148" t="str" cm="1">
        <f t="array" ref="AF103">Common_InputFunctions.Utility_DisplayArrayInTable(Fertiliser_SourceData.Fertiliser_Products_Data1(), FertiliserProducts[[#Headers],[Company]],1)</f>
        <v/>
      </c>
      <c r="AG103" s="148" t="str" cm="1">
        <f t="array" ref="AG103">Common_InputFunctions.Utility_DisplayArrayInTable(Fertiliser_SourceData.Fertiliser_Products_Data1(), FertiliserProducts[[#Headers],[Company]],1)</f>
        <v/>
      </c>
      <c r="AH103" s="148" t="str" cm="1">
        <f t="array" ref="AH103">Common_InputFunctions.Utility_DisplayArrayInTable(Fertiliser_SourceData.Fertiliser_Products_Data1(), FertiliserProducts[[#Headers],[Company]],1)</f>
        <v/>
      </c>
      <c r="AK103" s="1"/>
      <c r="AL103" s="1"/>
      <c r="AM103" s="1"/>
    </row>
    <row r="104" spans="1:39" ht="20.100000000000001" customHeight="1" x14ac:dyDescent="0.2">
      <c r="D104" s="148" t="str" cm="1">
        <f t="array" ref="D104">Common_InputFunctions.Utility_DisplayArrayInTable(Fertiliser_SourceData.Fertiliser_Products_Data1(), FertiliserProducts[[#Headers],[Company]],1)</f>
        <v>Campbells fertilisers Australia</v>
      </c>
      <c r="E104" s="148" t="str" cm="1">
        <f t="array" ref="E104">Common_InputFunctions.Utility_DisplayArrayInTable(Fertiliser_SourceData.Fertiliser_Products_Data1(), FertiliserProducts[[#Headers],[Company]],1)</f>
        <v>CoRoN 12-0-10</v>
      </c>
      <c r="F104" s="148" t="str" cm="1">
        <f t="array" ref="F104">Common_InputFunctions.Utility_DisplayArrayInTable(Fertiliser_SourceData.Fertiliser_Products_Data1(), FertiliserProducts[[#Headers],[Company]],1)</f>
        <v>L</v>
      </c>
      <c r="G104" s="148" cm="1">
        <f t="array" ref="G104">Common_InputFunctions.Utility_DisplayArrayInTable(Fertiliser_SourceData.Fertiliser_Products_Data1(), FertiliserProducts[[#Headers],[Company]],1)</f>
        <v>1.2150000000000001</v>
      </c>
      <c r="H104" s="148" t="str" cm="1">
        <f t="array" ref="H104">Common_InputFunctions.Utility_DisplayArrayInTable(Fertiliser_SourceData.Fertiliser_Products_Data1(), FertiliserProducts[[#Headers],[Company]],1)</f>
        <v/>
      </c>
      <c r="I104" s="148" t="str" cm="1">
        <f t="array" ref="I104">Common_InputFunctions.Utility_DisplayArrayInTable(Fertiliser_SourceData.Fertiliser_Products_Data1(), FertiliserProducts[[#Headers],[Company]],1)</f>
        <v/>
      </c>
      <c r="J104" s="148" t="str" cm="1">
        <f t="array" ref="J104">Common_InputFunctions.Utility_DisplayArrayInTable(Fertiliser_SourceData.Fertiliser_Products_Data1(), FertiliserProducts[[#Headers],[Company]],1)</f>
        <v/>
      </c>
      <c r="K104" s="148" cm="1">
        <f t="array" ref="K104">Common_InputFunctions.Utility_DisplayArrayInTable(Fertiliser_SourceData.Fertiliser_Products_Data1(), FertiliserProducts[[#Headers],[Company]],1)</f>
        <v>12</v>
      </c>
      <c r="L104" s="148" t="str" cm="1">
        <f t="array" ref="L104">Common_InputFunctions.Utility_DisplayArrayInTable(Fertiliser_SourceData.Fertiliser_Products_Data1(), FertiliserProducts[[#Headers],[Company]],1)</f>
        <v/>
      </c>
      <c r="M104" s="148" cm="1">
        <f t="array" ref="M104">Common_InputFunctions.Utility_DisplayArrayInTable(Fertiliser_SourceData.Fertiliser_Products_Data1(), FertiliserProducts[[#Headers],[Company]],1)</f>
        <v>10</v>
      </c>
      <c r="N104" s="148" t="str" cm="1">
        <f t="array" ref="N104">Common_InputFunctions.Utility_DisplayArrayInTable(Fertiliser_SourceData.Fertiliser_Products_Data1(), FertiliserProducts[[#Headers],[Company]],1)</f>
        <v/>
      </c>
      <c r="O104" s="148" t="str" cm="1">
        <f t="array" ref="O104">Common_InputFunctions.Utility_DisplayArrayInTable(Fertiliser_SourceData.Fertiliser_Products_Data1(), FertiliserProducts[[#Headers],[Company]],1)</f>
        <v>Urea</v>
      </c>
      <c r="P104" s="148" cm="1">
        <f t="array" ref="P104">Common_InputFunctions.Utility_DisplayArrayInTable(Fertiliser_SourceData.Fertiliser_Products_Data1(), FertiliserProducts[[#Headers],[Company]],1)</f>
        <v>0.19565199999999999</v>
      </c>
      <c r="Q104" s="148" t="str" cm="1">
        <f t="array" ref="Q104">Common_InputFunctions.Utility_DisplayArrayInTable(Fertiliser_SourceData.Fertiliser_Products_Data1(), FertiliserProducts[[#Headers],[Company]],1)</f>
        <v>Potassium - Generic</v>
      </c>
      <c r="R104" s="148" cm="1">
        <f t="array" ref="R104">Common_InputFunctions.Utility_DisplayArrayInTable(Fertiliser_SourceData.Fertiliser_Products_Data1(), FertiliserProducts[[#Headers],[Company]],1)</f>
        <v>0.1</v>
      </c>
      <c r="S104" s="148" t="str" cm="1">
        <f t="array" ref="S104">Common_InputFunctions.Utility_DisplayArrayInTable(Fertiliser_SourceData.Fertiliser_Products_Data1(), FertiliserProducts[[#Headers],[Company]],1)</f>
        <v>Nitrogen - Generic</v>
      </c>
      <c r="T104" s="148" cm="1">
        <f t="array" ref="T104">Common_InputFunctions.Utility_DisplayArrayInTable(Fertiliser_SourceData.Fertiliser_Products_Data1(), FertiliserProducts[[#Headers],[Company]],1)</f>
        <v>0.03</v>
      </c>
      <c r="U104" s="148" t="str" cm="1">
        <f t="array" ref="U104">Common_InputFunctions.Utility_DisplayArrayInTable(Fertiliser_SourceData.Fertiliser_Products_Data1(), FertiliserProducts[[#Headers],[Company]],1)</f>
        <v>Boron</v>
      </c>
      <c r="V104" s="148" cm="1">
        <f t="array" ref="V104">Common_InputFunctions.Utility_DisplayArrayInTable(Fertiliser_SourceData.Fertiliser_Products_Data1(), FertiliserProducts[[#Headers],[Company]],1)</f>
        <v>5.0000000000000001E-3</v>
      </c>
      <c r="W104" s="148" t="str" cm="1">
        <f t="array" ref="W104">Common_InputFunctions.Utility_DisplayArrayInTable(Fertiliser_SourceData.Fertiliser_Products_Data1(), FertiliserProducts[[#Headers],[Company]],1)</f>
        <v/>
      </c>
      <c r="X104" s="148" t="str" cm="1">
        <f t="array" ref="X104">Common_InputFunctions.Utility_DisplayArrayInTable(Fertiliser_SourceData.Fertiliser_Products_Data1(), FertiliserProducts[[#Headers],[Company]],1)</f>
        <v/>
      </c>
      <c r="Y104" s="148" t="str" cm="1">
        <f t="array" ref="Y104">Common_InputFunctions.Utility_DisplayArrayInTable(Fertiliser_SourceData.Fertiliser_Products_Data1(), FertiliserProducts[[#Headers],[Company]],1)</f>
        <v/>
      </c>
      <c r="Z104" s="148" t="str" cm="1">
        <f t="array" ref="Z104">Common_InputFunctions.Utility_DisplayArrayInTable(Fertiliser_SourceData.Fertiliser_Products_Data1(), FertiliserProducts[[#Headers],[Company]],1)</f>
        <v/>
      </c>
      <c r="AA104" s="148" t="str" cm="1">
        <f t="array" ref="AA104">Common_InputFunctions.Utility_DisplayArrayInTable(Fertiliser_SourceData.Fertiliser_Products_Data1(), FertiliserProducts[[#Headers],[Company]],1)</f>
        <v/>
      </c>
      <c r="AB104" s="148" t="str" cm="1">
        <f t="array" ref="AB104">Common_InputFunctions.Utility_DisplayArrayInTable(Fertiliser_SourceData.Fertiliser_Products_Data1(), FertiliserProducts[[#Headers],[Company]],1)</f>
        <v/>
      </c>
      <c r="AC104" s="148" t="str" cm="1">
        <f t="array" ref="AC104">Common_InputFunctions.Utility_DisplayArrayInTable(Fertiliser_SourceData.Fertiliser_Products_Data1(), FertiliserProducts[[#Headers],[Company]],1)</f>
        <v/>
      </c>
      <c r="AD104" s="148" t="str" cm="1">
        <f t="array" ref="AD104">Common_InputFunctions.Utility_DisplayArrayInTable(Fertiliser_SourceData.Fertiliser_Products_Data1(), FertiliserProducts[[#Headers],[Company]],1)</f>
        <v/>
      </c>
      <c r="AE104" s="148" t="str" cm="1">
        <f t="array" ref="AE104">Common_InputFunctions.Utility_DisplayArrayInTable(Fertiliser_SourceData.Fertiliser_Products_Data1(), FertiliserProducts[[#Headers],[Company]],1)</f>
        <v/>
      </c>
      <c r="AF104" s="148" t="str" cm="1">
        <f t="array" ref="AF104">Common_InputFunctions.Utility_DisplayArrayInTable(Fertiliser_SourceData.Fertiliser_Products_Data1(), FertiliserProducts[[#Headers],[Company]],1)</f>
        <v/>
      </c>
      <c r="AG104" s="148" t="str" cm="1">
        <f t="array" ref="AG104">Common_InputFunctions.Utility_DisplayArrayInTable(Fertiliser_SourceData.Fertiliser_Products_Data1(), FertiliserProducts[[#Headers],[Company]],1)</f>
        <v/>
      </c>
      <c r="AH104" s="148" t="str" cm="1">
        <f t="array" ref="AH104">Common_InputFunctions.Utility_DisplayArrayInTable(Fertiliser_SourceData.Fertiliser_Products_Data1(), FertiliserProducts[[#Headers],[Company]],1)</f>
        <v/>
      </c>
      <c r="AK104" s="1"/>
      <c r="AL104" s="1"/>
      <c r="AM104" s="1"/>
    </row>
    <row r="105" spans="1:39" ht="20.100000000000001" customHeight="1" x14ac:dyDescent="0.2">
      <c r="D105" s="148" t="str" cm="1">
        <f t="array" ref="D105">Common_InputFunctions.Utility_DisplayArrayInTable(Fertiliser_SourceData.Fertiliser_Products_Data1(), FertiliserProducts[[#Headers],[Company]],1)</f>
        <v>Campbells fertilisers Australia</v>
      </c>
      <c r="E105" s="148" t="str" cm="1">
        <f t="array" ref="E105">Common_InputFunctions.Utility_DisplayArrayInTable(Fertiliser_SourceData.Fertiliser_Products_Data1(), FertiliserProducts[[#Headers],[Company]],1)</f>
        <v>Maximum Quick-N</v>
      </c>
      <c r="F105" s="148" t="str" cm="1">
        <f t="array" ref="F105">Common_InputFunctions.Utility_DisplayArrayInTable(Fertiliser_SourceData.Fertiliser_Products_Data1(), FertiliserProducts[[#Headers],[Company]],1)</f>
        <v>kg</v>
      </c>
      <c r="G105" s="148" cm="1">
        <f t="array" ref="G105">Common_InputFunctions.Utility_DisplayArrayInTable(Fertiliser_SourceData.Fertiliser_Products_Data1(), FertiliserProducts[[#Headers],[Company]],1)</f>
        <v>1</v>
      </c>
      <c r="H105" s="148" t="str" cm="1">
        <f t="array" ref="H105">Common_InputFunctions.Utility_DisplayArrayInTable(Fertiliser_SourceData.Fertiliser_Products_Data1(), FertiliserProducts[[#Headers],[Company]],1)</f>
        <v/>
      </c>
      <c r="I105" s="148" t="str" cm="1">
        <f t="array" ref="I105">Common_InputFunctions.Utility_DisplayArrayInTable(Fertiliser_SourceData.Fertiliser_Products_Data1(), FertiliserProducts[[#Headers],[Company]],1)</f>
        <v/>
      </c>
      <c r="J105" s="148" t="str" cm="1">
        <f t="array" ref="J105">Common_InputFunctions.Utility_DisplayArrayInTable(Fertiliser_SourceData.Fertiliser_Products_Data1(), FertiliserProducts[[#Headers],[Company]],1)</f>
        <v/>
      </c>
      <c r="K105" s="148" cm="1">
        <f t="array" ref="K105">Common_InputFunctions.Utility_DisplayArrayInTable(Fertiliser_SourceData.Fertiliser_Products_Data1(), FertiliserProducts[[#Headers],[Company]],1)</f>
        <v>21.66</v>
      </c>
      <c r="L105" s="148" t="str" cm="1">
        <f t="array" ref="L105">Common_InputFunctions.Utility_DisplayArrayInTable(Fertiliser_SourceData.Fertiliser_Products_Data1(), FertiliserProducts[[#Headers],[Company]],1)</f>
        <v/>
      </c>
      <c r="M105" s="148" t="str" cm="1">
        <f t="array" ref="M105">Common_InputFunctions.Utility_DisplayArrayInTable(Fertiliser_SourceData.Fertiliser_Products_Data1(), FertiliserProducts[[#Headers],[Company]],1)</f>
        <v/>
      </c>
      <c r="N105" s="148" cm="1">
        <f t="array" ref="N105">Common_InputFunctions.Utility_DisplayArrayInTable(Fertiliser_SourceData.Fertiliser_Products_Data1(), FertiliserProducts[[#Headers],[Company]],1)</f>
        <v>13.2</v>
      </c>
      <c r="O105" s="148" t="str" cm="1">
        <f t="array" ref="O105">Common_InputFunctions.Utility_DisplayArrayInTable(Fertiliser_SourceData.Fertiliser_Products_Data1(), FertiliserProducts[[#Headers],[Company]],1)</f>
        <v>Sulphate of ammonia (SOA)</v>
      </c>
      <c r="P105" s="148" cm="1">
        <f t="array" ref="P105">Common_InputFunctions.Utility_DisplayArrayInTable(Fertiliser_SourceData.Fertiliser_Products_Data1(), FertiliserProducts[[#Headers],[Company]],1)</f>
        <v>0.55000000000000004</v>
      </c>
      <c r="Q105" s="148" t="str" cm="1">
        <f t="array" ref="Q105">Common_InputFunctions.Utility_DisplayArrayInTable(Fertiliser_SourceData.Fertiliser_Products_Data1(), FertiliserProducts[[#Headers],[Company]],1)</f>
        <v>Ammonium nitrate (AN)</v>
      </c>
      <c r="R105" s="148" cm="1">
        <f t="array" ref="R105">Common_InputFunctions.Utility_DisplayArrayInTable(Fertiliser_SourceData.Fertiliser_Products_Data1(), FertiliserProducts[[#Headers],[Company]],1)</f>
        <v>0.3</v>
      </c>
      <c r="S105" s="148" t="str" cm="1">
        <f t="array" ref="S105">Common_InputFunctions.Utility_DisplayArrayInTable(Fertiliser_SourceData.Fertiliser_Products_Data1(), FertiliserProducts[[#Headers],[Company]],1)</f>
        <v/>
      </c>
      <c r="T105" s="148" t="str" cm="1">
        <f t="array" ref="T105">Common_InputFunctions.Utility_DisplayArrayInTable(Fertiliser_SourceData.Fertiliser_Products_Data1(), FertiliserProducts[[#Headers],[Company]],1)</f>
        <v/>
      </c>
      <c r="U105" s="148" t="str" cm="1">
        <f t="array" ref="U105">Common_InputFunctions.Utility_DisplayArrayInTable(Fertiliser_SourceData.Fertiliser_Products_Data1(), FertiliserProducts[[#Headers],[Company]],1)</f>
        <v/>
      </c>
      <c r="V105" s="148" t="str" cm="1">
        <f t="array" ref="V105">Common_InputFunctions.Utility_DisplayArrayInTable(Fertiliser_SourceData.Fertiliser_Products_Data1(), FertiliserProducts[[#Headers],[Company]],1)</f>
        <v/>
      </c>
      <c r="W105" s="148" t="str" cm="1">
        <f t="array" ref="W105">Common_InputFunctions.Utility_DisplayArrayInTable(Fertiliser_SourceData.Fertiliser_Products_Data1(), FertiliserProducts[[#Headers],[Company]],1)</f>
        <v/>
      </c>
      <c r="X105" s="148" t="str" cm="1">
        <f t="array" ref="X105">Common_InputFunctions.Utility_DisplayArrayInTable(Fertiliser_SourceData.Fertiliser_Products_Data1(), FertiliserProducts[[#Headers],[Company]],1)</f>
        <v/>
      </c>
      <c r="Y105" s="148" t="str" cm="1">
        <f t="array" ref="Y105">Common_InputFunctions.Utility_DisplayArrayInTable(Fertiliser_SourceData.Fertiliser_Products_Data1(), FertiliserProducts[[#Headers],[Company]],1)</f>
        <v/>
      </c>
      <c r="Z105" s="148" t="str" cm="1">
        <f t="array" ref="Z105">Common_InputFunctions.Utility_DisplayArrayInTable(Fertiliser_SourceData.Fertiliser_Products_Data1(), FertiliserProducts[[#Headers],[Company]],1)</f>
        <v/>
      </c>
      <c r="AA105" s="148" t="str" cm="1">
        <f t="array" ref="AA105">Common_InputFunctions.Utility_DisplayArrayInTable(Fertiliser_SourceData.Fertiliser_Products_Data1(), FertiliserProducts[[#Headers],[Company]],1)</f>
        <v/>
      </c>
      <c r="AB105" s="148" t="str" cm="1">
        <f t="array" ref="AB105">Common_InputFunctions.Utility_DisplayArrayInTable(Fertiliser_SourceData.Fertiliser_Products_Data1(), FertiliserProducts[[#Headers],[Company]],1)</f>
        <v/>
      </c>
      <c r="AC105" s="148" t="str" cm="1">
        <f t="array" ref="AC105">Common_InputFunctions.Utility_DisplayArrayInTable(Fertiliser_SourceData.Fertiliser_Products_Data1(), FertiliserProducts[[#Headers],[Company]],1)</f>
        <v/>
      </c>
      <c r="AD105" s="148" t="str" cm="1">
        <f t="array" ref="AD105">Common_InputFunctions.Utility_DisplayArrayInTable(Fertiliser_SourceData.Fertiliser_Products_Data1(), FertiliserProducts[[#Headers],[Company]],1)</f>
        <v/>
      </c>
      <c r="AE105" s="148" t="str" cm="1">
        <f t="array" ref="AE105">Common_InputFunctions.Utility_DisplayArrayInTable(Fertiliser_SourceData.Fertiliser_Products_Data1(), FertiliserProducts[[#Headers],[Company]],1)</f>
        <v/>
      </c>
      <c r="AF105" s="148" t="str" cm="1">
        <f t="array" ref="AF105">Common_InputFunctions.Utility_DisplayArrayInTable(Fertiliser_SourceData.Fertiliser_Products_Data1(), FertiliserProducts[[#Headers],[Company]],1)</f>
        <v/>
      </c>
      <c r="AG105" s="148" t="str" cm="1">
        <f t="array" ref="AG105">Common_InputFunctions.Utility_DisplayArrayInTable(Fertiliser_SourceData.Fertiliser_Products_Data1(), FertiliserProducts[[#Headers],[Company]],1)</f>
        <v/>
      </c>
      <c r="AH105" s="148" t="str" cm="1">
        <f t="array" ref="AH105">Common_InputFunctions.Utility_DisplayArrayInTable(Fertiliser_SourceData.Fertiliser_Products_Data1(), FertiliserProducts[[#Headers],[Company]],1)</f>
        <v/>
      </c>
      <c r="AK105" s="1"/>
      <c r="AL105" s="1"/>
      <c r="AM105" s="1"/>
    </row>
    <row r="106" spans="1:39" ht="20.100000000000001" customHeight="1" x14ac:dyDescent="0.2">
      <c r="D106" s="148" t="str" cm="1">
        <f t="array" ref="D106">Common_InputFunctions.Utility_DisplayArrayInTable(Fertiliser_SourceData.Fertiliser_Products_Data1(), FertiliserProducts[[#Headers],[Company]],1)</f>
        <v>SL Tec</v>
      </c>
      <c r="E106" s="148" t="str" cm="1">
        <f t="array" ref="E106">Common_InputFunctions.Utility_DisplayArrayInTable(Fertiliser_SourceData.Fertiliser_Products_Data1(), FertiliserProducts[[#Headers],[Company]],1)</f>
        <v>Crop Booster PLUS</v>
      </c>
      <c r="F106" s="148" t="str" cm="1">
        <f t="array" ref="F106">Common_InputFunctions.Utility_DisplayArrayInTable(Fertiliser_SourceData.Fertiliser_Products_Data1(), FertiliserProducts[[#Headers],[Company]],1)</f>
        <v>L</v>
      </c>
      <c r="G106" s="148" cm="1">
        <f t="array" ref="G106">Common_InputFunctions.Utility_DisplayArrayInTable(Fertiliser_SourceData.Fertiliser_Products_Data1(), FertiliserProducts[[#Headers],[Company]],1)</f>
        <v>1.319</v>
      </c>
      <c r="H106" s="148" t="str" cm="1">
        <f t="array" ref="H106">Common_InputFunctions.Utility_DisplayArrayInTable(Fertiliser_SourceData.Fertiliser_Products_Data1(), FertiliserProducts[[#Headers],[Company]],1)</f>
        <v/>
      </c>
      <c r="I106" s="148" t="str" cm="1">
        <f t="array" ref="I106">Common_InputFunctions.Utility_DisplayArrayInTable(Fertiliser_SourceData.Fertiliser_Products_Data1(), FertiliserProducts[[#Headers],[Company]],1)</f>
        <v/>
      </c>
      <c r="J106" s="148" t="str" cm="1">
        <f t="array" ref="J106">Common_InputFunctions.Utility_DisplayArrayInTable(Fertiliser_SourceData.Fertiliser_Products_Data1(), FertiliserProducts[[#Headers],[Company]],1)</f>
        <v/>
      </c>
      <c r="K106" s="148" cm="1">
        <f t="array" ref="K106">Common_InputFunctions.Utility_DisplayArrayInTable(Fertiliser_SourceData.Fertiliser_Products_Data1(), FertiliserProducts[[#Headers],[Company]],1)</f>
        <v>5</v>
      </c>
      <c r="L106" s="148" cm="1">
        <f t="array" ref="L106">Common_InputFunctions.Utility_DisplayArrayInTable(Fertiliser_SourceData.Fertiliser_Products_Data1(), FertiliserProducts[[#Headers],[Company]],1)</f>
        <v>15</v>
      </c>
      <c r="M106" s="148" cm="1">
        <f t="array" ref="M106">Common_InputFunctions.Utility_DisplayArrayInTable(Fertiliser_SourceData.Fertiliser_Products_Data1(), FertiliserProducts[[#Headers],[Company]],1)</f>
        <v>2.1</v>
      </c>
      <c r="N106" s="148" t="str" cm="1">
        <f t="array" ref="N106">Common_InputFunctions.Utility_DisplayArrayInTable(Fertiliser_SourceData.Fertiliser_Products_Data1(), FertiliserProducts[[#Headers],[Company]],1)</f>
        <v/>
      </c>
      <c r="O106" s="148" t="str" cm="1">
        <f t="array" ref="O106">Common_InputFunctions.Utility_DisplayArrayInTable(Fertiliser_SourceData.Fertiliser_Products_Data1(), FertiliserProducts[[#Headers],[Company]],1)</f>
        <v>Phosphorus - Generic</v>
      </c>
      <c r="P106" s="148" cm="1">
        <f t="array" ref="P106">Common_InputFunctions.Utility_DisplayArrayInTable(Fertiliser_SourceData.Fertiliser_Products_Data1(), FertiliserProducts[[#Headers],[Company]],1)</f>
        <v>0.15</v>
      </c>
      <c r="Q106" s="148" t="str" cm="1">
        <f t="array" ref="Q106">Common_InputFunctions.Utility_DisplayArrayInTable(Fertiliser_SourceData.Fertiliser_Products_Data1(), FertiliserProducts[[#Headers],[Company]],1)</f>
        <v>Calcium</v>
      </c>
      <c r="R106" s="148" cm="1">
        <f t="array" ref="R106">Common_InputFunctions.Utility_DisplayArrayInTable(Fertiliser_SourceData.Fertiliser_Products_Data1(), FertiliserProducts[[#Headers],[Company]],1)</f>
        <v>0.04</v>
      </c>
      <c r="S106" s="148" t="str" cm="1">
        <f t="array" ref="S106">Common_InputFunctions.Utility_DisplayArrayInTable(Fertiliser_SourceData.Fertiliser_Products_Data1(), FertiliserProducts[[#Headers],[Company]],1)</f>
        <v>Nitrogen - Ammoniacal</v>
      </c>
      <c r="T106" s="148" cm="1">
        <f t="array" ref="T106">Common_InputFunctions.Utility_DisplayArrayInTable(Fertiliser_SourceData.Fertiliser_Products_Data1(), FertiliserProducts[[#Headers],[Company]],1)</f>
        <v>2.9000000000000001E-2</v>
      </c>
      <c r="U106" s="148" t="str" cm="1">
        <f t="array" ref="U106">Common_InputFunctions.Utility_DisplayArrayInTable(Fertiliser_SourceData.Fertiliser_Products_Data1(), FertiliserProducts[[#Headers],[Company]],1)</f>
        <v>Nitrogen - Nitrate</v>
      </c>
      <c r="V106" s="148" cm="1">
        <f t="array" ref="V106">Common_InputFunctions.Utility_DisplayArrayInTable(Fertiliser_SourceData.Fertiliser_Products_Data1(), FertiliserProducts[[#Headers],[Company]],1)</f>
        <v>2.1000000000000001E-2</v>
      </c>
      <c r="W106" s="148" t="str" cm="1">
        <f t="array" ref="W106">Common_InputFunctions.Utility_DisplayArrayInTable(Fertiliser_SourceData.Fertiliser_Products_Data1(), FertiliserProducts[[#Headers],[Company]],1)</f>
        <v>Potassium - Generic</v>
      </c>
      <c r="X106" s="148" cm="1">
        <f t="array" ref="X106">Common_InputFunctions.Utility_DisplayArrayInTable(Fertiliser_SourceData.Fertiliser_Products_Data1(), FertiliserProducts[[#Headers],[Company]],1)</f>
        <v>2.1000000000000001E-2</v>
      </c>
      <c r="Y106" s="148" t="str" cm="1">
        <f t="array" ref="Y106">Common_InputFunctions.Utility_DisplayArrayInTable(Fertiliser_SourceData.Fertiliser_Products_Data1(), FertiliserProducts[[#Headers],[Company]],1)</f>
        <v>Copper</v>
      </c>
      <c r="Z106" s="148" cm="1">
        <f t="array" ref="Z106">Common_InputFunctions.Utility_DisplayArrayInTable(Fertiliser_SourceData.Fertiliser_Products_Data1(), FertiliserProducts[[#Headers],[Company]],1)</f>
        <v>5.0000000000000001E-3</v>
      </c>
      <c r="AA106" s="148" t="str" cm="1">
        <f t="array" ref="AA106">Common_InputFunctions.Utility_DisplayArrayInTable(Fertiliser_SourceData.Fertiliser_Products_Data1(), FertiliserProducts[[#Headers],[Company]],1)</f>
        <v>Zinc</v>
      </c>
      <c r="AB106" s="148" cm="1">
        <f t="array" ref="AB106">Common_InputFunctions.Utility_DisplayArrayInTable(Fertiliser_SourceData.Fertiliser_Products_Data1(), FertiliserProducts[[#Headers],[Company]],1)</f>
        <v>4.0000000000000001E-3</v>
      </c>
      <c r="AC106" s="148" t="str" cm="1">
        <f t="array" ref="AC106">Common_InputFunctions.Utility_DisplayArrayInTable(Fertiliser_SourceData.Fertiliser_Products_Data1(), FertiliserProducts[[#Headers],[Company]],1)</f>
        <v>Manganese</v>
      </c>
      <c r="AD106" s="148" cm="1">
        <f t="array" ref="AD106">Common_InputFunctions.Utility_DisplayArrayInTable(Fertiliser_SourceData.Fertiliser_Products_Data1(), FertiliserProducts[[#Headers],[Company]],1)</f>
        <v>4.0000000000000001E-3</v>
      </c>
      <c r="AE106" s="148" t="str" cm="1">
        <f t="array" ref="AE106">Common_InputFunctions.Utility_DisplayArrayInTable(Fertiliser_SourceData.Fertiliser_Products_Data1(), FertiliserProducts[[#Headers],[Company]],1)</f>
        <v>Magnesium</v>
      </c>
      <c r="AF106" s="148" cm="1">
        <f t="array" ref="AF106">Common_InputFunctions.Utility_DisplayArrayInTable(Fertiliser_SourceData.Fertiliser_Products_Data1(), FertiliserProducts[[#Headers],[Company]],1)</f>
        <v>2E-3</v>
      </c>
      <c r="AG106" s="148" t="str" cm="1">
        <f t="array" ref="AG106">Common_InputFunctions.Utility_DisplayArrayInTable(Fertiliser_SourceData.Fertiliser_Products_Data1(), FertiliserProducts[[#Headers],[Company]],1)</f>
        <v/>
      </c>
      <c r="AH106" s="148" t="str" cm="1">
        <f t="array" ref="AH106">Common_InputFunctions.Utility_DisplayArrayInTable(Fertiliser_SourceData.Fertiliser_Products_Data1(), FertiliserProducts[[#Headers],[Company]],1)</f>
        <v/>
      </c>
      <c r="AK106" s="1"/>
      <c r="AL106" s="1"/>
      <c r="AM106" s="1"/>
    </row>
    <row r="107" spans="1:39" ht="20.100000000000001" customHeight="1" x14ac:dyDescent="0.2">
      <c r="D107" s="148" t="str" cm="1">
        <f t="array" ref="D107">Common_InputFunctions.Utility_DisplayArrayInTable(Fertiliser_SourceData.Fertiliser_Products_Data1(), FertiliserProducts[[#Headers],[Company]],1)</f>
        <v>Risso-Chemical</v>
      </c>
      <c r="E107" s="148" t="str" cm="1">
        <f t="array" ref="E107">Common_InputFunctions.Utility_DisplayArrayInTable(Fertiliser_SourceData.Fertiliser_Products_Data1(), FertiliserProducts[[#Headers],[Company]],1)</f>
        <v>Ammonium Bicarbonate</v>
      </c>
      <c r="F107" s="148" t="str" cm="1">
        <f t="array" ref="F107">Common_InputFunctions.Utility_DisplayArrayInTable(Fertiliser_SourceData.Fertiliser_Products_Data1(), FertiliserProducts[[#Headers],[Company]],1)</f>
        <v>kg</v>
      </c>
      <c r="G107" s="148" cm="1">
        <f t="array" ref="G107">Common_InputFunctions.Utility_DisplayArrayInTable(Fertiliser_SourceData.Fertiliser_Products_Data1(), FertiliserProducts[[#Headers],[Company]],1)</f>
        <v>1</v>
      </c>
      <c r="H107" s="148" t="str" cm="1">
        <f t="array" ref="H107">Common_InputFunctions.Utility_DisplayArrayInTable(Fertiliser_SourceData.Fertiliser_Products_Data1(), FertiliserProducts[[#Headers],[Company]],1)</f>
        <v/>
      </c>
      <c r="I107" s="148" t="str" cm="1">
        <f t="array" ref="I107">Common_InputFunctions.Utility_DisplayArrayInTable(Fertiliser_SourceData.Fertiliser_Products_Data1(), FertiliserProducts[[#Headers],[Company]],1)</f>
        <v/>
      </c>
      <c r="J107" s="148" t="str" cm="1">
        <f t="array" ref="J107">Common_InputFunctions.Utility_DisplayArrayInTable(Fertiliser_SourceData.Fertiliser_Products_Data1(), FertiliserProducts[[#Headers],[Company]],1)</f>
        <v>China</v>
      </c>
      <c r="K107" s="148" cm="1">
        <f t="array" ref="K107">Common_InputFunctions.Utility_DisplayArrayInTable(Fertiliser_SourceData.Fertiliser_Products_Data1(), FertiliserProducts[[#Headers],[Company]],1)</f>
        <v>17.7</v>
      </c>
      <c r="L107" s="148" t="str" cm="1">
        <f t="array" ref="L107">Common_InputFunctions.Utility_DisplayArrayInTable(Fertiliser_SourceData.Fertiliser_Products_Data1(), FertiliserProducts[[#Headers],[Company]],1)</f>
        <v/>
      </c>
      <c r="M107" s="148" t="str" cm="1">
        <f t="array" ref="M107">Common_InputFunctions.Utility_DisplayArrayInTable(Fertiliser_SourceData.Fertiliser_Products_Data1(), FertiliserProducts[[#Headers],[Company]],1)</f>
        <v/>
      </c>
      <c r="N107" s="148" t="str" cm="1">
        <f t="array" ref="N107">Common_InputFunctions.Utility_DisplayArrayInTable(Fertiliser_SourceData.Fertiliser_Products_Data1(), FertiliserProducts[[#Headers],[Company]],1)</f>
        <v/>
      </c>
      <c r="O107" s="148" t="str" cm="1">
        <f t="array" ref="O107">Common_InputFunctions.Utility_DisplayArrayInTable(Fertiliser_SourceData.Fertiliser_Products_Data1(), FertiliserProducts[[#Headers],[Company]],1)</f>
        <v>Nitrogen - Ammoniacal</v>
      </c>
      <c r="P107" s="148" cm="1">
        <f t="array" ref="P107">Common_InputFunctions.Utility_DisplayArrayInTable(Fertiliser_SourceData.Fertiliser_Products_Data1(), FertiliserProducts[[#Headers],[Company]],1)</f>
        <v>0.17699999999999999</v>
      </c>
      <c r="Q107" s="148" t="str" cm="1">
        <f t="array" ref="Q107">Common_InputFunctions.Utility_DisplayArrayInTable(Fertiliser_SourceData.Fertiliser_Products_Data1(), FertiliserProducts[[#Headers],[Company]],1)</f>
        <v/>
      </c>
      <c r="R107" s="148" t="str" cm="1">
        <f t="array" ref="R107">Common_InputFunctions.Utility_DisplayArrayInTable(Fertiliser_SourceData.Fertiliser_Products_Data1(), FertiliserProducts[[#Headers],[Company]],1)</f>
        <v/>
      </c>
      <c r="S107" s="148" t="str" cm="1">
        <f t="array" ref="S107">Common_InputFunctions.Utility_DisplayArrayInTable(Fertiliser_SourceData.Fertiliser_Products_Data1(), FertiliserProducts[[#Headers],[Company]],1)</f>
        <v/>
      </c>
      <c r="T107" s="148" t="str" cm="1">
        <f t="array" ref="T107">Common_InputFunctions.Utility_DisplayArrayInTable(Fertiliser_SourceData.Fertiliser_Products_Data1(), FertiliserProducts[[#Headers],[Company]],1)</f>
        <v/>
      </c>
      <c r="U107" s="148" t="str" cm="1">
        <f t="array" ref="U107">Common_InputFunctions.Utility_DisplayArrayInTable(Fertiliser_SourceData.Fertiliser_Products_Data1(), FertiliserProducts[[#Headers],[Company]],1)</f>
        <v/>
      </c>
      <c r="V107" s="148" t="str" cm="1">
        <f t="array" ref="V107">Common_InputFunctions.Utility_DisplayArrayInTable(Fertiliser_SourceData.Fertiliser_Products_Data1(), FertiliserProducts[[#Headers],[Company]],1)</f>
        <v/>
      </c>
      <c r="W107" s="148" t="str" cm="1">
        <f t="array" ref="W107">Common_InputFunctions.Utility_DisplayArrayInTable(Fertiliser_SourceData.Fertiliser_Products_Data1(), FertiliserProducts[[#Headers],[Company]],1)</f>
        <v/>
      </c>
      <c r="X107" s="148" t="str" cm="1">
        <f t="array" ref="X107">Common_InputFunctions.Utility_DisplayArrayInTable(Fertiliser_SourceData.Fertiliser_Products_Data1(), FertiliserProducts[[#Headers],[Company]],1)</f>
        <v/>
      </c>
      <c r="Y107" s="148" t="str" cm="1">
        <f t="array" ref="Y107">Common_InputFunctions.Utility_DisplayArrayInTable(Fertiliser_SourceData.Fertiliser_Products_Data1(), FertiliserProducts[[#Headers],[Company]],1)</f>
        <v/>
      </c>
      <c r="Z107" s="148" t="str" cm="1">
        <f t="array" ref="Z107">Common_InputFunctions.Utility_DisplayArrayInTable(Fertiliser_SourceData.Fertiliser_Products_Data1(), FertiliserProducts[[#Headers],[Company]],1)</f>
        <v/>
      </c>
      <c r="AA107" s="148" t="str" cm="1">
        <f t="array" ref="AA107">Common_InputFunctions.Utility_DisplayArrayInTable(Fertiliser_SourceData.Fertiliser_Products_Data1(), FertiliserProducts[[#Headers],[Company]],1)</f>
        <v/>
      </c>
      <c r="AB107" s="148" t="str" cm="1">
        <f t="array" ref="AB107">Common_InputFunctions.Utility_DisplayArrayInTable(Fertiliser_SourceData.Fertiliser_Products_Data1(), FertiliserProducts[[#Headers],[Company]],1)</f>
        <v/>
      </c>
      <c r="AC107" s="148" t="str" cm="1">
        <f t="array" ref="AC107">Common_InputFunctions.Utility_DisplayArrayInTable(Fertiliser_SourceData.Fertiliser_Products_Data1(), FertiliserProducts[[#Headers],[Company]],1)</f>
        <v/>
      </c>
      <c r="AD107" s="148" t="str" cm="1">
        <f t="array" ref="AD107">Common_InputFunctions.Utility_DisplayArrayInTable(Fertiliser_SourceData.Fertiliser_Products_Data1(), FertiliserProducts[[#Headers],[Company]],1)</f>
        <v/>
      </c>
      <c r="AE107" s="148" t="str" cm="1">
        <f t="array" ref="AE107">Common_InputFunctions.Utility_DisplayArrayInTable(Fertiliser_SourceData.Fertiliser_Products_Data1(), FertiliserProducts[[#Headers],[Company]],1)</f>
        <v/>
      </c>
      <c r="AF107" s="148" t="str" cm="1">
        <f t="array" ref="AF107">Common_InputFunctions.Utility_DisplayArrayInTable(Fertiliser_SourceData.Fertiliser_Products_Data1(), FertiliserProducts[[#Headers],[Company]],1)</f>
        <v/>
      </c>
      <c r="AG107" s="148" t="str" cm="1">
        <f t="array" ref="AG107">Common_InputFunctions.Utility_DisplayArrayInTable(Fertiliser_SourceData.Fertiliser_Products_Data1(), FertiliserProducts[[#Headers],[Company]],1)</f>
        <v/>
      </c>
      <c r="AH107" s="148" t="str" cm="1">
        <f t="array" ref="AH107">Common_InputFunctions.Utility_DisplayArrayInTable(Fertiliser_SourceData.Fertiliser_Products_Data1(), FertiliserProducts[[#Headers],[Company]],1)</f>
        <v/>
      </c>
      <c r="AK107" s="1"/>
      <c r="AL107" s="1"/>
      <c r="AM107" s="1"/>
    </row>
    <row r="108" spans="1:39" ht="20.100000000000001" customHeight="1" x14ac:dyDescent="0.2">
      <c r="D108" s="148" t="str" cm="1">
        <f t="array" ref="D108">Common_InputFunctions.Utility_DisplayArrayInTable(Fertiliser_SourceData.Fertiliser_Products_Data1(), FertiliserProducts[[#Headers],[Company]],1)</f>
        <v>Risso-Chemical</v>
      </c>
      <c r="E108" s="148" t="str" cm="1">
        <f t="array" ref="E108">Common_InputFunctions.Utility_DisplayArrayInTable(Fertiliser_SourceData.Fertiliser_Products_Data1(), FertiliserProducts[[#Headers],[Company]],1)</f>
        <v>Ammonium Sulfate</v>
      </c>
      <c r="F108" s="148" t="str" cm="1">
        <f t="array" ref="F108">Common_InputFunctions.Utility_DisplayArrayInTable(Fertiliser_SourceData.Fertiliser_Products_Data1(), FertiliserProducts[[#Headers],[Company]],1)</f>
        <v>kg</v>
      </c>
      <c r="G108" s="148" cm="1">
        <f t="array" ref="G108">Common_InputFunctions.Utility_DisplayArrayInTable(Fertiliser_SourceData.Fertiliser_Products_Data1(), FertiliserProducts[[#Headers],[Company]],1)</f>
        <v>1</v>
      </c>
      <c r="H108" s="148" t="str" cm="1">
        <f t="array" ref="H108">Common_InputFunctions.Utility_DisplayArrayInTable(Fertiliser_SourceData.Fertiliser_Products_Data1(), FertiliserProducts[[#Headers],[Company]],1)</f>
        <v/>
      </c>
      <c r="I108" s="148" t="str" cm="1">
        <f t="array" ref="I108">Common_InputFunctions.Utility_DisplayArrayInTable(Fertiliser_SourceData.Fertiliser_Products_Data1(), FertiliserProducts[[#Headers],[Company]],1)</f>
        <v/>
      </c>
      <c r="J108" s="148" t="str" cm="1">
        <f t="array" ref="J108">Common_InputFunctions.Utility_DisplayArrayInTable(Fertiliser_SourceData.Fertiliser_Products_Data1(), FertiliserProducts[[#Headers],[Company]],1)</f>
        <v>China</v>
      </c>
      <c r="K108" s="148" cm="1">
        <f t="array" ref="K108">Common_InputFunctions.Utility_DisplayArrayInTable(Fertiliser_SourceData.Fertiliser_Products_Data1(), FertiliserProducts[[#Headers],[Company]],1)</f>
        <v>21</v>
      </c>
      <c r="L108" s="148" t="str" cm="1">
        <f t="array" ref="L108">Common_InputFunctions.Utility_DisplayArrayInTable(Fertiliser_SourceData.Fertiliser_Products_Data1(), FertiliserProducts[[#Headers],[Company]],1)</f>
        <v/>
      </c>
      <c r="M108" s="148" t="str" cm="1">
        <f t="array" ref="M108">Common_InputFunctions.Utility_DisplayArrayInTable(Fertiliser_SourceData.Fertiliser_Products_Data1(), FertiliserProducts[[#Headers],[Company]],1)</f>
        <v/>
      </c>
      <c r="N108" s="148" cm="1">
        <f t="array" ref="N108">Common_InputFunctions.Utility_DisplayArrayInTable(Fertiliser_SourceData.Fertiliser_Products_Data1(), FertiliserProducts[[#Headers],[Company]],1)</f>
        <v>24</v>
      </c>
      <c r="O108" s="148" t="str" cm="1">
        <f t="array" ref="O108">Common_InputFunctions.Utility_DisplayArrayInTable(Fertiliser_SourceData.Fertiliser_Products_Data1(), FertiliserProducts[[#Headers],[Company]],1)</f>
        <v>Sulfur - Generic</v>
      </c>
      <c r="P108" s="148" cm="1">
        <f t="array" ref="P108">Common_InputFunctions.Utility_DisplayArrayInTable(Fertiliser_SourceData.Fertiliser_Products_Data1(), FertiliserProducts[[#Headers],[Company]],1)</f>
        <v>0.24</v>
      </c>
      <c r="Q108" s="148" t="str" cm="1">
        <f t="array" ref="Q108">Common_InputFunctions.Utility_DisplayArrayInTable(Fertiliser_SourceData.Fertiliser_Products_Data1(), FertiliserProducts[[#Headers],[Company]],1)</f>
        <v>Nitrogen - Ammoniacal</v>
      </c>
      <c r="R108" s="148" cm="1">
        <f t="array" ref="R108">Common_InputFunctions.Utility_DisplayArrayInTable(Fertiliser_SourceData.Fertiliser_Products_Data1(), FertiliserProducts[[#Headers],[Company]],1)</f>
        <v>0.21</v>
      </c>
      <c r="S108" s="148" t="str" cm="1">
        <f t="array" ref="S108">Common_InputFunctions.Utility_DisplayArrayInTable(Fertiliser_SourceData.Fertiliser_Products_Data1(), FertiliserProducts[[#Headers],[Company]],1)</f>
        <v/>
      </c>
      <c r="T108" s="148" t="str" cm="1">
        <f t="array" ref="T108">Common_InputFunctions.Utility_DisplayArrayInTable(Fertiliser_SourceData.Fertiliser_Products_Data1(), FertiliserProducts[[#Headers],[Company]],1)</f>
        <v/>
      </c>
      <c r="U108" s="148" t="str" cm="1">
        <f t="array" ref="U108">Common_InputFunctions.Utility_DisplayArrayInTable(Fertiliser_SourceData.Fertiliser_Products_Data1(), FertiliserProducts[[#Headers],[Company]],1)</f>
        <v/>
      </c>
      <c r="V108" s="148" t="str" cm="1">
        <f t="array" ref="V108">Common_InputFunctions.Utility_DisplayArrayInTable(Fertiliser_SourceData.Fertiliser_Products_Data1(), FertiliserProducts[[#Headers],[Company]],1)</f>
        <v/>
      </c>
      <c r="W108" s="148" t="str" cm="1">
        <f t="array" ref="W108">Common_InputFunctions.Utility_DisplayArrayInTable(Fertiliser_SourceData.Fertiliser_Products_Data1(), FertiliserProducts[[#Headers],[Company]],1)</f>
        <v/>
      </c>
      <c r="X108" s="148" t="str" cm="1">
        <f t="array" ref="X108">Common_InputFunctions.Utility_DisplayArrayInTable(Fertiliser_SourceData.Fertiliser_Products_Data1(), FertiliserProducts[[#Headers],[Company]],1)</f>
        <v/>
      </c>
      <c r="Y108" s="148" t="str" cm="1">
        <f t="array" ref="Y108">Common_InputFunctions.Utility_DisplayArrayInTable(Fertiliser_SourceData.Fertiliser_Products_Data1(), FertiliserProducts[[#Headers],[Company]],1)</f>
        <v/>
      </c>
      <c r="Z108" s="148" t="str" cm="1">
        <f t="array" ref="Z108">Common_InputFunctions.Utility_DisplayArrayInTable(Fertiliser_SourceData.Fertiliser_Products_Data1(), FertiliserProducts[[#Headers],[Company]],1)</f>
        <v/>
      </c>
      <c r="AA108" s="148" t="str" cm="1">
        <f t="array" ref="AA108">Common_InputFunctions.Utility_DisplayArrayInTable(Fertiliser_SourceData.Fertiliser_Products_Data1(), FertiliserProducts[[#Headers],[Company]],1)</f>
        <v/>
      </c>
      <c r="AB108" s="148" t="str" cm="1">
        <f t="array" ref="AB108">Common_InputFunctions.Utility_DisplayArrayInTable(Fertiliser_SourceData.Fertiliser_Products_Data1(), FertiliserProducts[[#Headers],[Company]],1)</f>
        <v/>
      </c>
      <c r="AC108" s="148" t="str" cm="1">
        <f t="array" ref="AC108">Common_InputFunctions.Utility_DisplayArrayInTable(Fertiliser_SourceData.Fertiliser_Products_Data1(), FertiliserProducts[[#Headers],[Company]],1)</f>
        <v/>
      </c>
      <c r="AD108" s="148" t="str" cm="1">
        <f t="array" ref="AD108">Common_InputFunctions.Utility_DisplayArrayInTable(Fertiliser_SourceData.Fertiliser_Products_Data1(), FertiliserProducts[[#Headers],[Company]],1)</f>
        <v/>
      </c>
      <c r="AE108" s="148" t="str" cm="1">
        <f t="array" ref="AE108">Common_InputFunctions.Utility_DisplayArrayInTable(Fertiliser_SourceData.Fertiliser_Products_Data1(), FertiliserProducts[[#Headers],[Company]],1)</f>
        <v/>
      </c>
      <c r="AF108" s="148" t="str" cm="1">
        <f t="array" ref="AF108">Common_InputFunctions.Utility_DisplayArrayInTable(Fertiliser_SourceData.Fertiliser_Products_Data1(), FertiliserProducts[[#Headers],[Company]],1)</f>
        <v/>
      </c>
      <c r="AG108" s="148" t="str" cm="1">
        <f t="array" ref="AG108">Common_InputFunctions.Utility_DisplayArrayInTable(Fertiliser_SourceData.Fertiliser_Products_Data1(), FertiliserProducts[[#Headers],[Company]],1)</f>
        <v/>
      </c>
      <c r="AH108" s="148" t="str" cm="1">
        <f t="array" ref="AH108">Common_InputFunctions.Utility_DisplayArrayInTable(Fertiliser_SourceData.Fertiliser_Products_Data1(), FertiliserProducts[[#Headers],[Company]],1)</f>
        <v/>
      </c>
      <c r="AK108" s="1"/>
      <c r="AL108" s="1"/>
      <c r="AM108" s="1"/>
    </row>
    <row r="109" spans="1:39" ht="20.100000000000001" customHeight="1" x14ac:dyDescent="0.2">
      <c r="D109" s="148" t="str" cm="1">
        <f t="array" ref="D109">Common_InputFunctions.Utility_DisplayArrayInTable(Fertiliser_SourceData.Fertiliser_Products_Data1(), FertiliserProducts[[#Headers],[Company]],1)</f>
        <v>Ravensdown</v>
      </c>
      <c r="E109" s="148" t="str" cm="1">
        <f t="array" ref="E109">Common_InputFunctions.Utility_DisplayArrayInTable(Fertiliser_SourceData.Fertiliser_Products_Data1(), FertiliserProducts[[#Headers],[Company]],1)</f>
        <v>Ammonium Sulphate - Granular</v>
      </c>
      <c r="F109" s="148" t="str" cm="1">
        <f t="array" ref="F109">Common_InputFunctions.Utility_DisplayArrayInTable(Fertiliser_SourceData.Fertiliser_Products_Data1(), FertiliserProducts[[#Headers],[Company]],1)</f>
        <v>kg</v>
      </c>
      <c r="G109" s="148" cm="1">
        <f t="array" ref="G109">Common_InputFunctions.Utility_DisplayArrayInTable(Fertiliser_SourceData.Fertiliser_Products_Data1(), FertiliserProducts[[#Headers],[Company]],1)</f>
        <v>1</v>
      </c>
      <c r="H109" s="148" t="str" cm="1">
        <f t="array" ref="H109">Common_InputFunctions.Utility_DisplayArrayInTable(Fertiliser_SourceData.Fertiliser_Products_Data1(), FertiliserProducts[[#Headers],[Company]],1)</f>
        <v/>
      </c>
      <c r="I109" s="148" t="str" cm="1">
        <f t="array" ref="I109">Common_InputFunctions.Utility_DisplayArrayInTable(Fertiliser_SourceData.Fertiliser_Products_Data1(), FertiliserProducts[[#Headers],[Company]],1)</f>
        <v/>
      </c>
      <c r="J109" s="148" t="str" cm="1">
        <f t="array" ref="J109">Common_InputFunctions.Utility_DisplayArrayInTable(Fertiliser_SourceData.Fertiliser_Products_Data1(), FertiliserProducts[[#Headers],[Company]],1)</f>
        <v/>
      </c>
      <c r="K109" s="148" cm="1">
        <f t="array" ref="K109">Common_InputFunctions.Utility_DisplayArrayInTable(Fertiliser_SourceData.Fertiliser_Products_Data1(), FertiliserProducts[[#Headers],[Company]],1)</f>
        <v>21</v>
      </c>
      <c r="L109" s="148" t="str" cm="1">
        <f t="array" ref="L109">Common_InputFunctions.Utility_DisplayArrayInTable(Fertiliser_SourceData.Fertiliser_Products_Data1(), FertiliserProducts[[#Headers],[Company]],1)</f>
        <v/>
      </c>
      <c r="M109" s="148" t="str" cm="1">
        <f t="array" ref="M109">Common_InputFunctions.Utility_DisplayArrayInTable(Fertiliser_SourceData.Fertiliser_Products_Data1(), FertiliserProducts[[#Headers],[Company]],1)</f>
        <v/>
      </c>
      <c r="N109" s="148" cm="1">
        <f t="array" ref="N109">Common_InputFunctions.Utility_DisplayArrayInTable(Fertiliser_SourceData.Fertiliser_Products_Data1(), FertiliserProducts[[#Headers],[Company]],1)</f>
        <v>24</v>
      </c>
      <c r="O109" s="148" t="str" cm="1">
        <f t="array" ref="O109">Common_InputFunctions.Utility_DisplayArrayInTable(Fertiliser_SourceData.Fertiliser_Products_Data1(), FertiliserProducts[[#Headers],[Company]],1)</f>
        <v>Sulphate of ammonia (SOA)</v>
      </c>
      <c r="P109" s="148" cm="1">
        <f t="array" ref="P109">Common_InputFunctions.Utility_DisplayArrayInTable(Fertiliser_SourceData.Fertiliser_Products_Data1(), FertiliserProducts[[#Headers],[Company]],1)</f>
        <v>1</v>
      </c>
      <c r="Q109" s="148" t="str" cm="1">
        <f t="array" ref="Q109">Common_InputFunctions.Utility_DisplayArrayInTable(Fertiliser_SourceData.Fertiliser_Products_Data1(), FertiliserProducts[[#Headers],[Company]],1)</f>
        <v/>
      </c>
      <c r="R109" s="148" t="str" cm="1">
        <f t="array" ref="R109">Common_InputFunctions.Utility_DisplayArrayInTable(Fertiliser_SourceData.Fertiliser_Products_Data1(), FertiliserProducts[[#Headers],[Company]],1)</f>
        <v/>
      </c>
      <c r="S109" s="148" t="str" cm="1">
        <f t="array" ref="S109">Common_InputFunctions.Utility_DisplayArrayInTable(Fertiliser_SourceData.Fertiliser_Products_Data1(), FertiliserProducts[[#Headers],[Company]],1)</f>
        <v/>
      </c>
      <c r="T109" s="148" t="str" cm="1">
        <f t="array" ref="T109">Common_InputFunctions.Utility_DisplayArrayInTable(Fertiliser_SourceData.Fertiliser_Products_Data1(), FertiliserProducts[[#Headers],[Company]],1)</f>
        <v/>
      </c>
      <c r="U109" s="148" t="str" cm="1">
        <f t="array" ref="U109">Common_InputFunctions.Utility_DisplayArrayInTable(Fertiliser_SourceData.Fertiliser_Products_Data1(), FertiliserProducts[[#Headers],[Company]],1)</f>
        <v/>
      </c>
      <c r="V109" s="148" t="str" cm="1">
        <f t="array" ref="V109">Common_InputFunctions.Utility_DisplayArrayInTable(Fertiliser_SourceData.Fertiliser_Products_Data1(), FertiliserProducts[[#Headers],[Company]],1)</f>
        <v/>
      </c>
      <c r="W109" s="148" t="str" cm="1">
        <f t="array" ref="W109">Common_InputFunctions.Utility_DisplayArrayInTable(Fertiliser_SourceData.Fertiliser_Products_Data1(), FertiliserProducts[[#Headers],[Company]],1)</f>
        <v/>
      </c>
      <c r="X109" s="148" t="str" cm="1">
        <f t="array" ref="X109">Common_InputFunctions.Utility_DisplayArrayInTable(Fertiliser_SourceData.Fertiliser_Products_Data1(), FertiliserProducts[[#Headers],[Company]],1)</f>
        <v/>
      </c>
      <c r="Y109" s="148" t="str" cm="1">
        <f t="array" ref="Y109">Common_InputFunctions.Utility_DisplayArrayInTable(Fertiliser_SourceData.Fertiliser_Products_Data1(), FertiliserProducts[[#Headers],[Company]],1)</f>
        <v/>
      </c>
      <c r="Z109" s="148" t="str" cm="1">
        <f t="array" ref="Z109">Common_InputFunctions.Utility_DisplayArrayInTable(Fertiliser_SourceData.Fertiliser_Products_Data1(), FertiliserProducts[[#Headers],[Company]],1)</f>
        <v/>
      </c>
      <c r="AA109" s="148" t="str" cm="1">
        <f t="array" ref="AA109">Common_InputFunctions.Utility_DisplayArrayInTable(Fertiliser_SourceData.Fertiliser_Products_Data1(), FertiliserProducts[[#Headers],[Company]],1)</f>
        <v/>
      </c>
      <c r="AB109" s="148" t="str" cm="1">
        <f t="array" ref="AB109">Common_InputFunctions.Utility_DisplayArrayInTable(Fertiliser_SourceData.Fertiliser_Products_Data1(), FertiliserProducts[[#Headers],[Company]],1)</f>
        <v/>
      </c>
      <c r="AC109" s="148" t="str" cm="1">
        <f t="array" ref="AC109">Common_InputFunctions.Utility_DisplayArrayInTable(Fertiliser_SourceData.Fertiliser_Products_Data1(), FertiliserProducts[[#Headers],[Company]],1)</f>
        <v/>
      </c>
      <c r="AD109" s="148" t="str" cm="1">
        <f t="array" ref="AD109">Common_InputFunctions.Utility_DisplayArrayInTable(Fertiliser_SourceData.Fertiliser_Products_Data1(), FertiliserProducts[[#Headers],[Company]],1)</f>
        <v/>
      </c>
      <c r="AE109" s="148" t="str" cm="1">
        <f t="array" ref="AE109">Common_InputFunctions.Utility_DisplayArrayInTable(Fertiliser_SourceData.Fertiliser_Products_Data1(), FertiliserProducts[[#Headers],[Company]],1)</f>
        <v/>
      </c>
      <c r="AF109" s="148" t="str" cm="1">
        <f t="array" ref="AF109">Common_InputFunctions.Utility_DisplayArrayInTable(Fertiliser_SourceData.Fertiliser_Products_Data1(), FertiliserProducts[[#Headers],[Company]],1)</f>
        <v/>
      </c>
      <c r="AG109" s="148" t="str" cm="1">
        <f t="array" ref="AG109">Common_InputFunctions.Utility_DisplayArrayInTable(Fertiliser_SourceData.Fertiliser_Products_Data1(), FertiliserProducts[[#Headers],[Company]],1)</f>
        <v/>
      </c>
      <c r="AH109" s="148" t="str" cm="1">
        <f t="array" ref="AH109">Common_InputFunctions.Utility_DisplayArrayInTable(Fertiliser_SourceData.Fertiliser_Products_Data1(), FertiliserProducts[[#Headers],[Company]],1)</f>
        <v/>
      </c>
      <c r="AK109" s="1"/>
      <c r="AL109" s="1"/>
      <c r="AM109" s="1"/>
    </row>
    <row r="110" spans="1:39" ht="20.100000000000001" customHeight="1" x14ac:dyDescent="0.2">
      <c r="D110" s="148" t="str" cm="1">
        <f t="array" ref="D110">Common_InputFunctions.Utility_DisplayArrayInTable(Fertiliser_SourceData.Fertiliser_Products_Data1(), FertiliserProducts[[#Headers],[Company]],1)</f>
        <v>Impact Fertilisers</v>
      </c>
      <c r="E110" s="148" t="str" cm="1">
        <f t="array" ref="E110">Common_InputFunctions.Utility_DisplayArrayInTable(Fertiliser_SourceData.Fertiliser_Products_Data1(), FertiliserProducts[[#Headers],[Company]],1)</f>
        <v>Di-Ammonium Phosphate (DAP)</v>
      </c>
      <c r="F110" s="148" t="str" cm="1">
        <f t="array" ref="F110">Common_InputFunctions.Utility_DisplayArrayInTable(Fertiliser_SourceData.Fertiliser_Products_Data1(), FertiliserProducts[[#Headers],[Company]],1)</f>
        <v>kg</v>
      </c>
      <c r="G110" s="148" cm="1">
        <f t="array" ref="G110">Common_InputFunctions.Utility_DisplayArrayInTable(Fertiliser_SourceData.Fertiliser_Products_Data1(), FertiliserProducts[[#Headers],[Company]],1)</f>
        <v>1</v>
      </c>
      <c r="H110" s="148" t="str" cm="1">
        <f t="array" ref="H110">Common_InputFunctions.Utility_DisplayArrayInTable(Fertiliser_SourceData.Fertiliser_Products_Data1(), FertiliserProducts[[#Headers],[Company]],1)</f>
        <v/>
      </c>
      <c r="I110" s="148" t="str" cm="1">
        <f t="array" ref="I110">Common_InputFunctions.Utility_DisplayArrayInTable(Fertiliser_SourceData.Fertiliser_Products_Data1(), FertiliserProducts[[#Headers],[Company]],1)</f>
        <v/>
      </c>
      <c r="J110" s="148" t="str" cm="1">
        <f t="array" ref="J110">Common_InputFunctions.Utility_DisplayArrayInTable(Fertiliser_SourceData.Fertiliser_Products_Data1(), FertiliserProducts[[#Headers],[Company]],1)</f>
        <v/>
      </c>
      <c r="K110" s="148" cm="1">
        <f t="array" ref="K110">Common_InputFunctions.Utility_DisplayArrayInTable(Fertiliser_SourceData.Fertiliser_Products_Data1(), FertiliserProducts[[#Headers],[Company]],1)</f>
        <v>18</v>
      </c>
      <c r="L110" s="148" cm="1">
        <f t="array" ref="L110">Common_InputFunctions.Utility_DisplayArrayInTable(Fertiliser_SourceData.Fertiliser_Products_Data1(), FertiliserProducts[[#Headers],[Company]],1)</f>
        <v>20</v>
      </c>
      <c r="M110" s="148" t="str" cm="1">
        <f t="array" ref="M110">Common_InputFunctions.Utility_DisplayArrayInTable(Fertiliser_SourceData.Fertiliser_Products_Data1(), FertiliserProducts[[#Headers],[Company]],1)</f>
        <v/>
      </c>
      <c r="N110" s="148" t="str" cm="1">
        <f t="array" ref="N110">Common_InputFunctions.Utility_DisplayArrayInTable(Fertiliser_SourceData.Fertiliser_Products_Data1(), FertiliserProducts[[#Headers],[Company]],1)</f>
        <v/>
      </c>
      <c r="O110" s="148" t="str" cm="1">
        <f t="array" ref="O110">Common_InputFunctions.Utility_DisplayArrayInTable(Fertiliser_SourceData.Fertiliser_Products_Data1(), FertiliserProducts[[#Headers],[Company]],1)</f>
        <v>Diammonium phosphate (DAP)</v>
      </c>
      <c r="P110" s="148" cm="1">
        <f t="array" ref="P110">Common_InputFunctions.Utility_DisplayArrayInTable(Fertiliser_SourceData.Fertiliser_Products_Data1(), FertiliserProducts[[#Headers],[Company]],1)</f>
        <v>1</v>
      </c>
      <c r="Q110" s="148" t="str" cm="1">
        <f t="array" ref="Q110">Common_InputFunctions.Utility_DisplayArrayInTable(Fertiliser_SourceData.Fertiliser_Products_Data1(), FertiliserProducts[[#Headers],[Company]],1)</f>
        <v/>
      </c>
      <c r="R110" s="148" t="str" cm="1">
        <f t="array" ref="R110">Common_InputFunctions.Utility_DisplayArrayInTable(Fertiliser_SourceData.Fertiliser_Products_Data1(), FertiliserProducts[[#Headers],[Company]],1)</f>
        <v/>
      </c>
      <c r="S110" s="148" t="str" cm="1">
        <f t="array" ref="S110">Common_InputFunctions.Utility_DisplayArrayInTable(Fertiliser_SourceData.Fertiliser_Products_Data1(), FertiliserProducts[[#Headers],[Company]],1)</f>
        <v/>
      </c>
      <c r="T110" s="148" t="str" cm="1">
        <f t="array" ref="T110">Common_InputFunctions.Utility_DisplayArrayInTable(Fertiliser_SourceData.Fertiliser_Products_Data1(), FertiliserProducts[[#Headers],[Company]],1)</f>
        <v/>
      </c>
      <c r="U110" s="148" t="str" cm="1">
        <f t="array" ref="U110">Common_InputFunctions.Utility_DisplayArrayInTable(Fertiliser_SourceData.Fertiliser_Products_Data1(), FertiliserProducts[[#Headers],[Company]],1)</f>
        <v/>
      </c>
      <c r="V110" s="148" t="str" cm="1">
        <f t="array" ref="V110">Common_InputFunctions.Utility_DisplayArrayInTable(Fertiliser_SourceData.Fertiliser_Products_Data1(), FertiliserProducts[[#Headers],[Company]],1)</f>
        <v/>
      </c>
      <c r="W110" s="148" t="str" cm="1">
        <f t="array" ref="W110">Common_InputFunctions.Utility_DisplayArrayInTable(Fertiliser_SourceData.Fertiliser_Products_Data1(), FertiliserProducts[[#Headers],[Company]],1)</f>
        <v/>
      </c>
      <c r="X110" s="148" t="str" cm="1">
        <f t="array" ref="X110">Common_InputFunctions.Utility_DisplayArrayInTable(Fertiliser_SourceData.Fertiliser_Products_Data1(), FertiliserProducts[[#Headers],[Company]],1)</f>
        <v/>
      </c>
      <c r="Y110" s="148" t="str" cm="1">
        <f t="array" ref="Y110">Common_InputFunctions.Utility_DisplayArrayInTable(Fertiliser_SourceData.Fertiliser_Products_Data1(), FertiliserProducts[[#Headers],[Company]],1)</f>
        <v/>
      </c>
      <c r="Z110" s="148" t="str" cm="1">
        <f t="array" ref="Z110">Common_InputFunctions.Utility_DisplayArrayInTable(Fertiliser_SourceData.Fertiliser_Products_Data1(), FertiliserProducts[[#Headers],[Company]],1)</f>
        <v/>
      </c>
      <c r="AA110" s="148" t="str" cm="1">
        <f t="array" ref="AA110">Common_InputFunctions.Utility_DisplayArrayInTable(Fertiliser_SourceData.Fertiliser_Products_Data1(), FertiliserProducts[[#Headers],[Company]],1)</f>
        <v/>
      </c>
      <c r="AB110" s="148" t="str" cm="1">
        <f t="array" ref="AB110">Common_InputFunctions.Utility_DisplayArrayInTable(Fertiliser_SourceData.Fertiliser_Products_Data1(), FertiliserProducts[[#Headers],[Company]],1)</f>
        <v/>
      </c>
      <c r="AC110" s="148" t="str" cm="1">
        <f t="array" ref="AC110">Common_InputFunctions.Utility_DisplayArrayInTable(Fertiliser_SourceData.Fertiliser_Products_Data1(), FertiliserProducts[[#Headers],[Company]],1)</f>
        <v/>
      </c>
      <c r="AD110" s="148" t="str" cm="1">
        <f t="array" ref="AD110">Common_InputFunctions.Utility_DisplayArrayInTable(Fertiliser_SourceData.Fertiliser_Products_Data1(), FertiliserProducts[[#Headers],[Company]],1)</f>
        <v/>
      </c>
      <c r="AE110" s="148" t="str" cm="1">
        <f t="array" ref="AE110">Common_InputFunctions.Utility_DisplayArrayInTable(Fertiliser_SourceData.Fertiliser_Products_Data1(), FertiliserProducts[[#Headers],[Company]],1)</f>
        <v/>
      </c>
      <c r="AF110" s="148" t="str" cm="1">
        <f t="array" ref="AF110">Common_InputFunctions.Utility_DisplayArrayInTable(Fertiliser_SourceData.Fertiliser_Products_Data1(), FertiliserProducts[[#Headers],[Company]],1)</f>
        <v/>
      </c>
      <c r="AG110" s="148" t="str" cm="1">
        <f t="array" ref="AG110">Common_InputFunctions.Utility_DisplayArrayInTable(Fertiliser_SourceData.Fertiliser_Products_Data1(), FertiliserProducts[[#Headers],[Company]],1)</f>
        <v/>
      </c>
      <c r="AH110" s="148" t="str" cm="1">
        <f t="array" ref="AH110">Common_InputFunctions.Utility_DisplayArrayInTable(Fertiliser_SourceData.Fertiliser_Products_Data1(), FertiliserProducts[[#Headers],[Company]],1)</f>
        <v/>
      </c>
      <c r="AK110" s="1"/>
      <c r="AL110" s="1"/>
      <c r="AM110" s="1"/>
    </row>
    <row r="111" spans="1:39" ht="20.100000000000001" customHeight="1" x14ac:dyDescent="0.2">
      <c r="D111" s="148" t="str" cm="1">
        <f t="array" ref="D111">Common_InputFunctions.Utility_DisplayArrayInTable(Fertiliser_SourceData.Fertiliser_Products_Data1(), FertiliserProducts[[#Headers],[Company]],1)</f>
        <v>Incitec Pivot Fertilisers</v>
      </c>
      <c r="E111" s="148" t="str" cm="1">
        <f t="array" ref="E111">Common_InputFunctions.Utility_DisplayArrayInTable(Fertiliser_SourceData.Fertiliser_Products_Data1(), FertiliserProducts[[#Headers],[Company]],1)</f>
        <v>Basalt BooSSta</v>
      </c>
      <c r="F111" s="148" t="str" cm="1">
        <f t="array" ref="F111">Common_InputFunctions.Utility_DisplayArrayInTable(Fertiliser_SourceData.Fertiliser_Products_Data1(), FertiliserProducts[[#Headers],[Company]],1)</f>
        <v>kg</v>
      </c>
      <c r="G111" s="148" cm="1">
        <f t="array" ref="G111">Common_InputFunctions.Utility_DisplayArrayInTable(Fertiliser_SourceData.Fertiliser_Products_Data1(), FertiliserProducts[[#Headers],[Company]],1)</f>
        <v>1</v>
      </c>
      <c r="H111" s="148" t="str" cm="1">
        <f t="array" ref="H111">Common_InputFunctions.Utility_DisplayArrayInTable(Fertiliser_SourceData.Fertiliser_Products_Data1(), FertiliserProducts[[#Headers],[Company]],1)</f>
        <v/>
      </c>
      <c r="I111" s="148" t="str" cm="1">
        <f t="array" ref="I111">Common_InputFunctions.Utility_DisplayArrayInTable(Fertiliser_SourceData.Fertiliser_Products_Data1(), FertiliserProducts[[#Headers],[Company]],1)</f>
        <v/>
      </c>
      <c r="J111" s="148" t="str" cm="1">
        <f t="array" ref="J111">Common_InputFunctions.Utility_DisplayArrayInTable(Fertiliser_SourceData.Fertiliser_Products_Data1(), FertiliserProducts[[#Headers],[Company]],1)</f>
        <v/>
      </c>
      <c r="K111" s="148" cm="1">
        <f t="array" ref="K111">Common_InputFunctions.Utility_DisplayArrayInTable(Fertiliser_SourceData.Fertiliser_Products_Data1(), FertiliserProducts[[#Headers],[Company]],1)</f>
        <v>8</v>
      </c>
      <c r="L111" s="148" cm="1">
        <f t="array" ref="L111">Common_InputFunctions.Utility_DisplayArrayInTable(Fertiliser_SourceData.Fertiliser_Products_Data1(), FertiliserProducts[[#Headers],[Company]],1)</f>
        <v>14</v>
      </c>
      <c r="M111" s="148" t="str" cm="1">
        <f t="array" ref="M111">Common_InputFunctions.Utility_DisplayArrayInTable(Fertiliser_SourceData.Fertiliser_Products_Data1(), FertiliserProducts[[#Headers],[Company]],1)</f>
        <v/>
      </c>
      <c r="N111" s="148" cm="1">
        <f t="array" ref="N111">Common_InputFunctions.Utility_DisplayArrayInTable(Fertiliser_SourceData.Fertiliser_Products_Data1(), FertiliserProducts[[#Headers],[Company]],1)</f>
        <v>27.6</v>
      </c>
      <c r="O111" s="148" t="str" cm="1">
        <f t="array" ref="O111">Common_InputFunctions.Utility_DisplayArrayInTable(Fertiliser_SourceData.Fertiliser_Products_Data1(), FertiliserProducts[[#Headers],[Company]],1)</f>
        <v>Sulfur - Generic</v>
      </c>
      <c r="P111" s="148" cm="1">
        <f t="array" ref="P111">Common_InputFunctions.Utility_DisplayArrayInTable(Fertiliser_SourceData.Fertiliser_Products_Data1(), FertiliserProducts[[#Headers],[Company]],1)</f>
        <v>0.27600000000000002</v>
      </c>
      <c r="Q111" s="148" t="str" cm="1">
        <f t="array" ref="Q111">Common_InputFunctions.Utility_DisplayArrayInTable(Fertiliser_SourceData.Fertiliser_Products_Data1(), FertiliserProducts[[#Headers],[Company]],1)</f>
        <v>Phosphorus - Generic</v>
      </c>
      <c r="R111" s="148" cm="1">
        <f t="array" ref="R111">Common_InputFunctions.Utility_DisplayArrayInTable(Fertiliser_SourceData.Fertiliser_Products_Data1(), FertiliserProducts[[#Headers],[Company]],1)</f>
        <v>0.14000000000000001</v>
      </c>
      <c r="S111" s="148" t="str" cm="1">
        <f t="array" ref="S111">Common_InputFunctions.Utility_DisplayArrayInTable(Fertiliser_SourceData.Fertiliser_Products_Data1(), FertiliserProducts[[#Headers],[Company]],1)</f>
        <v>Nitrogen - Generic</v>
      </c>
      <c r="T111" s="148" cm="1">
        <f t="array" ref="T111">Common_InputFunctions.Utility_DisplayArrayInTable(Fertiliser_SourceData.Fertiliser_Products_Data1(), FertiliserProducts[[#Headers],[Company]],1)</f>
        <v>0.08</v>
      </c>
      <c r="U111" s="148" t="str" cm="1">
        <f t="array" ref="U111">Common_InputFunctions.Utility_DisplayArrayInTable(Fertiliser_SourceData.Fertiliser_Products_Data1(), FertiliserProducts[[#Headers],[Company]],1)</f>
        <v>Fluoride</v>
      </c>
      <c r="V111" s="148" cm="1">
        <f t="array" ref="V111">Common_InputFunctions.Utility_DisplayArrayInTable(Fertiliser_SourceData.Fertiliser_Products_Data1(), FertiliserProducts[[#Headers],[Company]],1)</f>
        <v>2.4E-2</v>
      </c>
      <c r="W111" s="148" t="str" cm="1">
        <f t="array" ref="W111">Common_InputFunctions.Utility_DisplayArrayInTable(Fertiliser_SourceData.Fertiliser_Products_Data1(), FertiliserProducts[[#Headers],[Company]],1)</f>
        <v/>
      </c>
      <c r="X111" s="148" t="str" cm="1">
        <f t="array" ref="X111">Common_InputFunctions.Utility_DisplayArrayInTable(Fertiliser_SourceData.Fertiliser_Products_Data1(), FertiliserProducts[[#Headers],[Company]],1)</f>
        <v/>
      </c>
      <c r="Y111" s="148" t="str" cm="1">
        <f t="array" ref="Y111">Common_InputFunctions.Utility_DisplayArrayInTable(Fertiliser_SourceData.Fertiliser_Products_Data1(), FertiliserProducts[[#Headers],[Company]],1)</f>
        <v/>
      </c>
      <c r="Z111" s="148" t="str" cm="1">
        <f t="array" ref="Z111">Common_InputFunctions.Utility_DisplayArrayInTable(Fertiliser_SourceData.Fertiliser_Products_Data1(), FertiliserProducts[[#Headers],[Company]],1)</f>
        <v/>
      </c>
      <c r="AA111" s="148" t="str" cm="1">
        <f t="array" ref="AA111">Common_InputFunctions.Utility_DisplayArrayInTable(Fertiliser_SourceData.Fertiliser_Products_Data1(), FertiliserProducts[[#Headers],[Company]],1)</f>
        <v/>
      </c>
      <c r="AB111" s="148" t="str" cm="1">
        <f t="array" ref="AB111">Common_InputFunctions.Utility_DisplayArrayInTable(Fertiliser_SourceData.Fertiliser_Products_Data1(), FertiliserProducts[[#Headers],[Company]],1)</f>
        <v/>
      </c>
      <c r="AC111" s="148" t="str" cm="1">
        <f t="array" ref="AC111">Common_InputFunctions.Utility_DisplayArrayInTable(Fertiliser_SourceData.Fertiliser_Products_Data1(), FertiliserProducts[[#Headers],[Company]],1)</f>
        <v/>
      </c>
      <c r="AD111" s="148" t="str" cm="1">
        <f t="array" ref="AD111">Common_InputFunctions.Utility_DisplayArrayInTable(Fertiliser_SourceData.Fertiliser_Products_Data1(), FertiliserProducts[[#Headers],[Company]],1)</f>
        <v/>
      </c>
      <c r="AE111" s="148" t="str" cm="1">
        <f t="array" ref="AE111">Common_InputFunctions.Utility_DisplayArrayInTable(Fertiliser_SourceData.Fertiliser_Products_Data1(), FertiliserProducts[[#Headers],[Company]],1)</f>
        <v/>
      </c>
      <c r="AF111" s="148" t="str" cm="1">
        <f t="array" ref="AF111">Common_InputFunctions.Utility_DisplayArrayInTable(Fertiliser_SourceData.Fertiliser_Products_Data1(), FertiliserProducts[[#Headers],[Company]],1)</f>
        <v/>
      </c>
      <c r="AG111" s="148" t="str" cm="1">
        <f t="array" ref="AG111">Common_InputFunctions.Utility_DisplayArrayInTable(Fertiliser_SourceData.Fertiliser_Products_Data1(), FertiliserProducts[[#Headers],[Company]],1)</f>
        <v/>
      </c>
      <c r="AH111" s="148" t="str" cm="1">
        <f t="array" ref="AH111">Common_InputFunctions.Utility_DisplayArrayInTable(Fertiliser_SourceData.Fertiliser_Products_Data1(), FertiliserProducts[[#Headers],[Company]],1)</f>
        <v/>
      </c>
      <c r="AK111" s="1"/>
      <c r="AL111" s="1"/>
      <c r="AM111" s="1"/>
    </row>
    <row r="112" spans="1:39" ht="20.100000000000001" customHeight="1" x14ac:dyDescent="0.2">
      <c r="D112" s="148" t="str" cm="1">
        <f t="array" ref="D112">Common_InputFunctions.Utility_DisplayArrayInTable(Fertiliser_SourceData.Fertiliser_Products_Data1(), FertiliserProducts[[#Headers],[Company]],1)</f>
        <v>Summit Fertilizers</v>
      </c>
      <c r="E112" s="148" t="str" cm="1">
        <f t="array" ref="E112">Common_InputFunctions.Utility_DisplayArrayInTable(Fertiliser_SourceData.Fertiliser_Products_Data1(), FertiliserProducts[[#Headers],[Company]],1)</f>
        <v>DAPSZC</v>
      </c>
      <c r="F112" s="148" t="str" cm="1">
        <f t="array" ref="F112">Common_InputFunctions.Utility_DisplayArrayInTable(Fertiliser_SourceData.Fertiliser_Products_Data1(), FertiliserProducts[[#Headers],[Company]],1)</f>
        <v>kg</v>
      </c>
      <c r="G112" s="148" cm="1">
        <f t="array" ref="G112">Common_InputFunctions.Utility_DisplayArrayInTable(Fertiliser_SourceData.Fertiliser_Products_Data1(), FertiliserProducts[[#Headers],[Company]],1)</f>
        <v>1</v>
      </c>
      <c r="H112" s="148" t="str" cm="1">
        <f t="array" ref="H112">Common_InputFunctions.Utility_DisplayArrayInTable(Fertiliser_SourceData.Fertiliser_Products_Data1(), FertiliserProducts[[#Headers],[Company]],1)</f>
        <v/>
      </c>
      <c r="I112" s="148" t="str" cm="1">
        <f t="array" ref="I112">Common_InputFunctions.Utility_DisplayArrayInTable(Fertiliser_SourceData.Fertiliser_Products_Data1(), FertiliserProducts[[#Headers],[Company]],1)</f>
        <v/>
      </c>
      <c r="J112" s="148" t="str" cm="1">
        <f t="array" ref="J112">Common_InputFunctions.Utility_DisplayArrayInTable(Fertiliser_SourceData.Fertiliser_Products_Data1(), FertiliserProducts[[#Headers],[Company]],1)</f>
        <v/>
      </c>
      <c r="K112" s="148" cm="1">
        <f t="array" ref="K112">Common_InputFunctions.Utility_DisplayArrayInTable(Fertiliser_SourceData.Fertiliser_Products_Data1(), FertiliserProducts[[#Headers],[Company]],1)</f>
        <v>16.899999999999999</v>
      </c>
      <c r="L112" s="148" cm="1">
        <f t="array" ref="L112">Common_InputFunctions.Utility_DisplayArrayInTable(Fertiliser_SourceData.Fertiliser_Products_Data1(), FertiliserProducts[[#Headers],[Company]],1)</f>
        <v>18.2</v>
      </c>
      <c r="M112" s="148" t="str" cm="1">
        <f t="array" ref="M112">Common_InputFunctions.Utility_DisplayArrayInTable(Fertiliser_SourceData.Fertiliser_Products_Data1(), FertiliserProducts[[#Headers],[Company]],1)</f>
        <v/>
      </c>
      <c r="N112" s="148" cm="1">
        <f t="array" ref="N112">Common_InputFunctions.Utility_DisplayArrayInTable(Fertiliser_SourceData.Fertiliser_Products_Data1(), FertiliserProducts[[#Headers],[Company]],1)</f>
        <v>8</v>
      </c>
      <c r="O112" s="148" t="str" cm="1">
        <f t="array" ref="O112">Common_InputFunctions.Utility_DisplayArrayInTable(Fertiliser_SourceData.Fertiliser_Products_Data1(), FertiliserProducts[[#Headers],[Company]],1)</f>
        <v>Phosphorus - Generic</v>
      </c>
      <c r="P112" s="148" cm="1">
        <f t="array" ref="P112">Common_InputFunctions.Utility_DisplayArrayInTable(Fertiliser_SourceData.Fertiliser_Products_Data1(), FertiliserProducts[[#Headers],[Company]],1)</f>
        <v>0.182</v>
      </c>
      <c r="Q112" s="148" t="str" cm="1">
        <f t="array" ref="Q112">Common_InputFunctions.Utility_DisplayArrayInTable(Fertiliser_SourceData.Fertiliser_Products_Data1(), FertiliserProducts[[#Headers],[Company]],1)</f>
        <v>Nitrogen - Generic</v>
      </c>
      <c r="R112" s="148" cm="1">
        <f t="array" ref="R112">Common_InputFunctions.Utility_DisplayArrayInTable(Fertiliser_SourceData.Fertiliser_Products_Data1(), FertiliserProducts[[#Headers],[Company]],1)</f>
        <v>0.16900000000000001</v>
      </c>
      <c r="S112" s="148" t="str" cm="1">
        <f t="array" ref="S112">Common_InputFunctions.Utility_DisplayArrayInTable(Fertiliser_SourceData.Fertiliser_Products_Data1(), FertiliserProducts[[#Headers],[Company]],1)</f>
        <v>Sulfur - Generic</v>
      </c>
      <c r="T112" s="148" cm="1">
        <f t="array" ref="T112">Common_InputFunctions.Utility_DisplayArrayInTable(Fertiliser_SourceData.Fertiliser_Products_Data1(), FertiliserProducts[[#Headers],[Company]],1)</f>
        <v>0.08</v>
      </c>
      <c r="U112" s="148" t="str" cm="1">
        <f t="array" ref="U112">Common_InputFunctions.Utility_DisplayArrayInTable(Fertiliser_SourceData.Fertiliser_Products_Data1(), FertiliserProducts[[#Headers],[Company]],1)</f>
        <v>Zinc</v>
      </c>
      <c r="V112" s="148" cm="1">
        <f t="array" ref="V112">Common_InputFunctions.Utility_DisplayArrayInTable(Fertiliser_SourceData.Fertiliser_Products_Data1(), FertiliserProducts[[#Headers],[Company]],1)</f>
        <v>2E-3</v>
      </c>
      <c r="W112" s="148" t="str" cm="1">
        <f t="array" ref="W112">Common_InputFunctions.Utility_DisplayArrayInTable(Fertiliser_SourceData.Fertiliser_Products_Data1(), FertiliserProducts[[#Headers],[Company]],1)</f>
        <v>Copper</v>
      </c>
      <c r="X112" s="148" cm="1">
        <f t="array" ref="X112">Common_InputFunctions.Utility_DisplayArrayInTable(Fertiliser_SourceData.Fertiliser_Products_Data1(), FertiliserProducts[[#Headers],[Company]],1)</f>
        <v>1E-3</v>
      </c>
      <c r="Y112" s="148" t="str" cm="1">
        <f t="array" ref="Y112">Common_InputFunctions.Utility_DisplayArrayInTable(Fertiliser_SourceData.Fertiliser_Products_Data1(), FertiliserProducts[[#Headers],[Company]],1)</f>
        <v/>
      </c>
      <c r="Z112" s="148" t="str" cm="1">
        <f t="array" ref="Z112">Common_InputFunctions.Utility_DisplayArrayInTable(Fertiliser_SourceData.Fertiliser_Products_Data1(), FertiliserProducts[[#Headers],[Company]],1)</f>
        <v/>
      </c>
      <c r="AA112" s="148" t="str" cm="1">
        <f t="array" ref="AA112">Common_InputFunctions.Utility_DisplayArrayInTable(Fertiliser_SourceData.Fertiliser_Products_Data1(), FertiliserProducts[[#Headers],[Company]],1)</f>
        <v/>
      </c>
      <c r="AB112" s="148" t="str" cm="1">
        <f t="array" ref="AB112">Common_InputFunctions.Utility_DisplayArrayInTable(Fertiliser_SourceData.Fertiliser_Products_Data1(), FertiliserProducts[[#Headers],[Company]],1)</f>
        <v/>
      </c>
      <c r="AC112" s="148" t="str" cm="1">
        <f t="array" ref="AC112">Common_InputFunctions.Utility_DisplayArrayInTable(Fertiliser_SourceData.Fertiliser_Products_Data1(), FertiliserProducts[[#Headers],[Company]],1)</f>
        <v/>
      </c>
      <c r="AD112" s="148" t="str" cm="1">
        <f t="array" ref="AD112">Common_InputFunctions.Utility_DisplayArrayInTable(Fertiliser_SourceData.Fertiliser_Products_Data1(), FertiliserProducts[[#Headers],[Company]],1)</f>
        <v/>
      </c>
      <c r="AE112" s="148" t="str" cm="1">
        <f t="array" ref="AE112">Common_InputFunctions.Utility_DisplayArrayInTable(Fertiliser_SourceData.Fertiliser_Products_Data1(), FertiliserProducts[[#Headers],[Company]],1)</f>
        <v/>
      </c>
      <c r="AF112" s="148" t="str" cm="1">
        <f t="array" ref="AF112">Common_InputFunctions.Utility_DisplayArrayInTable(Fertiliser_SourceData.Fertiliser_Products_Data1(), FertiliserProducts[[#Headers],[Company]],1)</f>
        <v/>
      </c>
      <c r="AG112" s="148" t="str" cm="1">
        <f t="array" ref="AG112">Common_InputFunctions.Utility_DisplayArrayInTable(Fertiliser_SourceData.Fertiliser_Products_Data1(), FertiliserProducts[[#Headers],[Company]],1)</f>
        <v/>
      </c>
      <c r="AH112" s="148" t="str" cm="1">
        <f t="array" ref="AH112">Common_InputFunctions.Utility_DisplayArrayInTable(Fertiliser_SourceData.Fertiliser_Products_Data1(), FertiliserProducts[[#Headers],[Company]],1)</f>
        <v/>
      </c>
      <c r="AK112" s="1"/>
      <c r="AL112" s="1"/>
      <c r="AM112" s="1"/>
    </row>
    <row r="113" spans="1:39" ht="20.100000000000001" customHeight="1" x14ac:dyDescent="0.2">
      <c r="D113" s="148" t="str" cm="1">
        <f t="array" ref="D113">Common_InputFunctions.Utility_DisplayArrayInTable(Fertiliser_SourceData.Fertiliser_Products_Data1(), FertiliserProducts[[#Headers],[Company]],1)</f>
        <v>Incitec Pivot Fertilisers</v>
      </c>
      <c r="E113" s="148" t="str" cm="1">
        <f t="array" ref="E113">Common_InputFunctions.Utility_DisplayArrayInTable(Fertiliser_SourceData.Fertiliser_Products_Data1(), FertiliserProducts[[#Headers],[Company]],1)</f>
        <v>Easy N</v>
      </c>
      <c r="F113" s="148" t="str" cm="1">
        <f t="array" ref="F113">Common_InputFunctions.Utility_DisplayArrayInTable(Fertiliser_SourceData.Fertiliser_Products_Data1(), FertiliserProducts[[#Headers],[Company]],1)</f>
        <v>L</v>
      </c>
      <c r="G113" s="148" cm="1">
        <f t="array" ref="G113">Common_InputFunctions.Utility_DisplayArrayInTable(Fertiliser_SourceData.Fertiliser_Products_Data1(), FertiliserProducts[[#Headers],[Company]],1)</f>
        <v>1.32</v>
      </c>
      <c r="H113" s="148" t="str" cm="1">
        <f t="array" ref="H113">Common_InputFunctions.Utility_DisplayArrayInTable(Fertiliser_SourceData.Fertiliser_Products_Data1(), FertiliserProducts[[#Headers],[Company]],1)</f>
        <v/>
      </c>
      <c r="I113" s="148" t="str" cm="1">
        <f t="array" ref="I113">Common_InputFunctions.Utility_DisplayArrayInTable(Fertiliser_SourceData.Fertiliser_Products_Data1(), FertiliserProducts[[#Headers],[Company]],1)</f>
        <v/>
      </c>
      <c r="J113" s="148" t="str" cm="1">
        <f t="array" ref="J113">Common_InputFunctions.Utility_DisplayArrayInTable(Fertiliser_SourceData.Fertiliser_Products_Data1(), FertiliserProducts[[#Headers],[Company]],1)</f>
        <v/>
      </c>
      <c r="K113" s="148" cm="1">
        <f t="array" ref="K113">Common_InputFunctions.Utility_DisplayArrayInTable(Fertiliser_SourceData.Fertiliser_Products_Data1(), FertiliserProducts[[#Headers],[Company]],1)</f>
        <v>42.5</v>
      </c>
      <c r="L113" s="148" t="str" cm="1">
        <f t="array" ref="L113">Common_InputFunctions.Utility_DisplayArrayInTable(Fertiliser_SourceData.Fertiliser_Products_Data1(), FertiliserProducts[[#Headers],[Company]],1)</f>
        <v/>
      </c>
      <c r="M113" s="148" t="str" cm="1">
        <f t="array" ref="M113">Common_InputFunctions.Utility_DisplayArrayInTable(Fertiliser_SourceData.Fertiliser_Products_Data1(), FertiliserProducts[[#Headers],[Company]],1)</f>
        <v/>
      </c>
      <c r="N113" s="148" t="str" cm="1">
        <f t="array" ref="N113">Common_InputFunctions.Utility_DisplayArrayInTable(Fertiliser_SourceData.Fertiliser_Products_Data1(), FertiliserProducts[[#Headers],[Company]],1)</f>
        <v/>
      </c>
      <c r="O113" s="148" t="str" cm="1">
        <f t="array" ref="O113">Common_InputFunctions.Utility_DisplayArrayInTable(Fertiliser_SourceData.Fertiliser_Products_Data1(), FertiliserProducts[[#Headers],[Company]],1)</f>
        <v>Urea</v>
      </c>
      <c r="P113" s="148" cm="1">
        <f t="array" ref="P113">Common_InputFunctions.Utility_DisplayArrayInTable(Fertiliser_SourceData.Fertiliser_Products_Data1(), FertiliserProducts[[#Headers],[Company]],1)</f>
        <v>0.467391</v>
      </c>
      <c r="Q113" s="148" t="str" cm="1">
        <f t="array" ref="Q113">Common_InputFunctions.Utility_DisplayArrayInTable(Fertiliser_SourceData.Fertiliser_Products_Data1(), FertiliserProducts[[#Headers],[Company]],1)</f>
        <v>Nitrogen - Nitrate</v>
      </c>
      <c r="R113" s="148" cm="1">
        <f t="array" ref="R113">Common_InputFunctions.Utility_DisplayArrayInTable(Fertiliser_SourceData.Fertiliser_Products_Data1(), FertiliserProducts[[#Headers],[Company]],1)</f>
        <v>0.105</v>
      </c>
      <c r="S113" s="148" t="str" cm="1">
        <f t="array" ref="S113">Common_InputFunctions.Utility_DisplayArrayInTable(Fertiliser_SourceData.Fertiliser_Products_Data1(), FertiliserProducts[[#Headers],[Company]],1)</f>
        <v>Nitrogen - Ammoniacal</v>
      </c>
      <c r="T113" s="148" cm="1">
        <f t="array" ref="T113">Common_InputFunctions.Utility_DisplayArrayInTable(Fertiliser_SourceData.Fertiliser_Products_Data1(), FertiliserProducts[[#Headers],[Company]],1)</f>
        <v>0.105</v>
      </c>
      <c r="U113" s="148" t="str" cm="1">
        <f t="array" ref="U113">Common_InputFunctions.Utility_DisplayArrayInTable(Fertiliser_SourceData.Fertiliser_Products_Data1(), FertiliserProducts[[#Headers],[Company]],1)</f>
        <v>Biuret</v>
      </c>
      <c r="V113" s="148" cm="1">
        <f t="array" ref="V113">Common_InputFunctions.Utility_DisplayArrayInTable(Fertiliser_SourceData.Fertiliser_Products_Data1(), FertiliserProducts[[#Headers],[Company]],1)</f>
        <v>6.0000000000000001E-3</v>
      </c>
      <c r="W113" s="148" t="str" cm="1">
        <f t="array" ref="W113">Common_InputFunctions.Utility_DisplayArrayInTable(Fertiliser_SourceData.Fertiliser_Products_Data1(), FertiliserProducts[[#Headers],[Company]],1)</f>
        <v/>
      </c>
      <c r="X113" s="148" t="str" cm="1">
        <f t="array" ref="X113">Common_InputFunctions.Utility_DisplayArrayInTable(Fertiliser_SourceData.Fertiliser_Products_Data1(), FertiliserProducts[[#Headers],[Company]],1)</f>
        <v/>
      </c>
      <c r="Y113" s="148" t="str" cm="1">
        <f t="array" ref="Y113">Common_InputFunctions.Utility_DisplayArrayInTable(Fertiliser_SourceData.Fertiliser_Products_Data1(), FertiliserProducts[[#Headers],[Company]],1)</f>
        <v/>
      </c>
      <c r="Z113" s="148" t="str" cm="1">
        <f t="array" ref="Z113">Common_InputFunctions.Utility_DisplayArrayInTable(Fertiliser_SourceData.Fertiliser_Products_Data1(), FertiliserProducts[[#Headers],[Company]],1)</f>
        <v/>
      </c>
      <c r="AA113" s="148" t="str" cm="1">
        <f t="array" ref="AA113">Common_InputFunctions.Utility_DisplayArrayInTable(Fertiliser_SourceData.Fertiliser_Products_Data1(), FertiliserProducts[[#Headers],[Company]],1)</f>
        <v/>
      </c>
      <c r="AB113" s="148" t="str" cm="1">
        <f t="array" ref="AB113">Common_InputFunctions.Utility_DisplayArrayInTable(Fertiliser_SourceData.Fertiliser_Products_Data1(), FertiliserProducts[[#Headers],[Company]],1)</f>
        <v/>
      </c>
      <c r="AC113" s="148" t="str" cm="1">
        <f t="array" ref="AC113">Common_InputFunctions.Utility_DisplayArrayInTable(Fertiliser_SourceData.Fertiliser_Products_Data1(), FertiliserProducts[[#Headers],[Company]],1)</f>
        <v/>
      </c>
      <c r="AD113" s="148" t="str" cm="1">
        <f t="array" ref="AD113">Common_InputFunctions.Utility_DisplayArrayInTable(Fertiliser_SourceData.Fertiliser_Products_Data1(), FertiliserProducts[[#Headers],[Company]],1)</f>
        <v/>
      </c>
      <c r="AE113" s="148" t="str" cm="1">
        <f t="array" ref="AE113">Common_InputFunctions.Utility_DisplayArrayInTable(Fertiliser_SourceData.Fertiliser_Products_Data1(), FertiliserProducts[[#Headers],[Company]],1)</f>
        <v/>
      </c>
      <c r="AF113" s="148" t="str" cm="1">
        <f t="array" ref="AF113">Common_InputFunctions.Utility_DisplayArrayInTable(Fertiliser_SourceData.Fertiliser_Products_Data1(), FertiliserProducts[[#Headers],[Company]],1)</f>
        <v/>
      </c>
      <c r="AG113" s="148" t="str" cm="1">
        <f t="array" ref="AG113">Common_InputFunctions.Utility_DisplayArrayInTable(Fertiliser_SourceData.Fertiliser_Products_Data1(), FertiliserProducts[[#Headers],[Company]],1)</f>
        <v/>
      </c>
      <c r="AH113" s="148" t="str" cm="1">
        <f t="array" ref="AH113">Common_InputFunctions.Utility_DisplayArrayInTable(Fertiliser_SourceData.Fertiliser_Products_Data1(), FertiliserProducts[[#Headers],[Company]],1)</f>
        <v/>
      </c>
      <c r="AK113" s="1"/>
      <c r="AL113" s="1"/>
      <c r="AM113" s="1"/>
    </row>
    <row r="114" spans="1:39" ht="20.100000000000001" customHeight="1" x14ac:dyDescent="0.2">
      <c r="D114" s="148" t="str" cm="1">
        <f t="array" ref="D114">Common_InputFunctions.Utility_DisplayArrayInTable(Fertiliser_SourceData.Fertiliser_Products_Data1(), FertiliserProducts[[#Headers],[Company]],1)</f>
        <v>Risso-Chemical</v>
      </c>
      <c r="E114" s="148" t="str" cm="1">
        <f t="array" ref="E114">Common_InputFunctions.Utility_DisplayArrayInTable(Fertiliser_SourceData.Fertiliser_Products_Data1(), FertiliserProducts[[#Headers],[Company]],1)</f>
        <v>Calcium Ammonium nitrate</v>
      </c>
      <c r="F114" s="148" t="str" cm="1">
        <f t="array" ref="F114">Common_InputFunctions.Utility_DisplayArrayInTable(Fertiliser_SourceData.Fertiliser_Products_Data1(), FertiliserProducts[[#Headers],[Company]],1)</f>
        <v>kg</v>
      </c>
      <c r="G114" s="148" cm="1">
        <f t="array" ref="G114">Common_InputFunctions.Utility_DisplayArrayInTable(Fertiliser_SourceData.Fertiliser_Products_Data1(), FertiliserProducts[[#Headers],[Company]],1)</f>
        <v>1</v>
      </c>
      <c r="H114" s="148" t="str" cm="1">
        <f t="array" ref="H114">Common_InputFunctions.Utility_DisplayArrayInTable(Fertiliser_SourceData.Fertiliser_Products_Data1(), FertiliserProducts[[#Headers],[Company]],1)</f>
        <v/>
      </c>
      <c r="I114" s="148" t="str" cm="1">
        <f t="array" ref="I114">Common_InputFunctions.Utility_DisplayArrayInTable(Fertiliser_SourceData.Fertiliser_Products_Data1(), FertiliserProducts[[#Headers],[Company]],1)</f>
        <v/>
      </c>
      <c r="J114" s="148" t="str" cm="1">
        <f t="array" ref="J114">Common_InputFunctions.Utility_DisplayArrayInTable(Fertiliser_SourceData.Fertiliser_Products_Data1(), FertiliserProducts[[#Headers],[Company]],1)</f>
        <v>China</v>
      </c>
      <c r="K114" s="148" cm="1">
        <f t="array" ref="K114">Common_InputFunctions.Utility_DisplayArrayInTable(Fertiliser_SourceData.Fertiliser_Products_Data1(), FertiliserProducts[[#Headers],[Company]],1)</f>
        <v>40.5</v>
      </c>
      <c r="L114" s="148" t="str" cm="1">
        <f t="array" ref="L114">Common_InputFunctions.Utility_DisplayArrayInTable(Fertiliser_SourceData.Fertiliser_Products_Data1(), FertiliserProducts[[#Headers],[Company]],1)</f>
        <v/>
      </c>
      <c r="M114" s="148" t="str" cm="1">
        <f t="array" ref="M114">Common_InputFunctions.Utility_DisplayArrayInTable(Fertiliser_SourceData.Fertiliser_Products_Data1(), FertiliserProducts[[#Headers],[Company]],1)</f>
        <v/>
      </c>
      <c r="N114" s="148" t="str" cm="1">
        <f t="array" ref="N114">Common_InputFunctions.Utility_DisplayArrayInTable(Fertiliser_SourceData.Fertiliser_Products_Data1(), FertiliserProducts[[#Headers],[Company]],1)</f>
        <v/>
      </c>
      <c r="O114" s="148" t="str" cm="1">
        <f t="array" ref="O114">Common_InputFunctions.Utility_DisplayArrayInTable(Fertiliser_SourceData.Fertiliser_Products_Data1(), FertiliserProducts[[#Headers],[Company]],1)</f>
        <v>Nitrogen - Ammoniacal</v>
      </c>
      <c r="P114" s="148" cm="1">
        <f t="array" ref="P114">Common_InputFunctions.Utility_DisplayArrayInTable(Fertiliser_SourceData.Fertiliser_Products_Data1(), FertiliserProducts[[#Headers],[Company]],1)</f>
        <v>0.27</v>
      </c>
      <c r="Q114" s="148" t="str" cm="1">
        <f t="array" ref="Q114">Common_InputFunctions.Utility_DisplayArrayInTable(Fertiliser_SourceData.Fertiliser_Products_Data1(), FertiliserProducts[[#Headers],[Company]],1)</f>
        <v>Nitrogen - Nitrate</v>
      </c>
      <c r="R114" s="148" cm="1">
        <f t="array" ref="R114">Common_InputFunctions.Utility_DisplayArrayInTable(Fertiliser_SourceData.Fertiliser_Products_Data1(), FertiliserProducts[[#Headers],[Company]],1)</f>
        <v>0.13500000000000001</v>
      </c>
      <c r="S114" s="148" t="str" cm="1">
        <f t="array" ref="S114">Common_InputFunctions.Utility_DisplayArrayInTable(Fertiliser_SourceData.Fertiliser_Products_Data1(), FertiliserProducts[[#Headers],[Company]],1)</f>
        <v>Calcium</v>
      </c>
      <c r="T114" s="148" cm="1">
        <f t="array" ref="T114">Common_InputFunctions.Utility_DisplayArrayInTable(Fertiliser_SourceData.Fertiliser_Products_Data1(), FertiliserProducts[[#Headers],[Company]],1)</f>
        <v>0.12</v>
      </c>
      <c r="U114" s="148" t="str" cm="1">
        <f t="array" ref="U114">Common_InputFunctions.Utility_DisplayArrayInTable(Fertiliser_SourceData.Fertiliser_Products_Data1(), FertiliserProducts[[#Headers],[Company]],1)</f>
        <v/>
      </c>
      <c r="V114" s="148" t="str" cm="1">
        <f t="array" ref="V114">Common_InputFunctions.Utility_DisplayArrayInTable(Fertiliser_SourceData.Fertiliser_Products_Data1(), FertiliserProducts[[#Headers],[Company]],1)</f>
        <v/>
      </c>
      <c r="W114" s="148" t="str" cm="1">
        <f t="array" ref="W114">Common_InputFunctions.Utility_DisplayArrayInTable(Fertiliser_SourceData.Fertiliser_Products_Data1(), FertiliserProducts[[#Headers],[Company]],1)</f>
        <v/>
      </c>
      <c r="X114" s="148" t="str" cm="1">
        <f t="array" ref="X114">Common_InputFunctions.Utility_DisplayArrayInTable(Fertiliser_SourceData.Fertiliser_Products_Data1(), FertiliserProducts[[#Headers],[Company]],1)</f>
        <v/>
      </c>
      <c r="Y114" s="148" t="str" cm="1">
        <f t="array" ref="Y114">Common_InputFunctions.Utility_DisplayArrayInTable(Fertiliser_SourceData.Fertiliser_Products_Data1(), FertiliserProducts[[#Headers],[Company]],1)</f>
        <v/>
      </c>
      <c r="Z114" s="148" t="str" cm="1">
        <f t="array" ref="Z114">Common_InputFunctions.Utility_DisplayArrayInTable(Fertiliser_SourceData.Fertiliser_Products_Data1(), FertiliserProducts[[#Headers],[Company]],1)</f>
        <v/>
      </c>
      <c r="AA114" s="148" t="str" cm="1">
        <f t="array" ref="AA114">Common_InputFunctions.Utility_DisplayArrayInTable(Fertiliser_SourceData.Fertiliser_Products_Data1(), FertiliserProducts[[#Headers],[Company]],1)</f>
        <v/>
      </c>
      <c r="AB114" s="148" t="str" cm="1">
        <f t="array" ref="AB114">Common_InputFunctions.Utility_DisplayArrayInTable(Fertiliser_SourceData.Fertiliser_Products_Data1(), FertiliserProducts[[#Headers],[Company]],1)</f>
        <v/>
      </c>
      <c r="AC114" s="148" t="str" cm="1">
        <f t="array" ref="AC114">Common_InputFunctions.Utility_DisplayArrayInTable(Fertiliser_SourceData.Fertiliser_Products_Data1(), FertiliserProducts[[#Headers],[Company]],1)</f>
        <v/>
      </c>
      <c r="AD114" s="148" t="str" cm="1">
        <f t="array" ref="AD114">Common_InputFunctions.Utility_DisplayArrayInTable(Fertiliser_SourceData.Fertiliser_Products_Data1(), FertiliserProducts[[#Headers],[Company]],1)</f>
        <v/>
      </c>
      <c r="AE114" s="148" t="str" cm="1">
        <f t="array" ref="AE114">Common_InputFunctions.Utility_DisplayArrayInTable(Fertiliser_SourceData.Fertiliser_Products_Data1(), FertiliserProducts[[#Headers],[Company]],1)</f>
        <v/>
      </c>
      <c r="AF114" s="148" t="str" cm="1">
        <f t="array" ref="AF114">Common_InputFunctions.Utility_DisplayArrayInTable(Fertiliser_SourceData.Fertiliser_Products_Data1(), FertiliserProducts[[#Headers],[Company]],1)</f>
        <v/>
      </c>
      <c r="AG114" s="148" t="str" cm="1">
        <f t="array" ref="AG114">Common_InputFunctions.Utility_DisplayArrayInTable(Fertiliser_SourceData.Fertiliser_Products_Data1(), FertiliserProducts[[#Headers],[Company]],1)</f>
        <v/>
      </c>
      <c r="AH114" s="148" t="str" cm="1">
        <f t="array" ref="AH114">Common_InputFunctions.Utility_DisplayArrayInTable(Fertiliser_SourceData.Fertiliser_Products_Data1(), FertiliserProducts[[#Headers],[Company]],1)</f>
        <v/>
      </c>
      <c r="AK114" s="1"/>
      <c r="AL114" s="1"/>
      <c r="AM114" s="1"/>
    </row>
    <row r="115" spans="1:39" ht="20.100000000000001" customHeight="1" x14ac:dyDescent="0.2">
      <c r="D115" s="148" t="str" cm="1">
        <f t="array" ref="D115">Common_InputFunctions.Utility_DisplayArrayInTable(Fertiliser_SourceData.Fertiliser_Products_Data1(), FertiliserProducts[[#Headers],[Company]],1)</f>
        <v>SL Tec</v>
      </c>
      <c r="E115" s="148" t="str" cm="1">
        <f t="array" ref="E115">Common_InputFunctions.Utility_DisplayArrayInTable(Fertiliser_SourceData.Fertiliser_Products_Data1(), FertiliserProducts[[#Headers],[Company]],1)</f>
        <v>CellCAL Plus</v>
      </c>
      <c r="F115" s="148" t="str" cm="1">
        <f t="array" ref="F115">Common_InputFunctions.Utility_DisplayArrayInTable(Fertiliser_SourceData.Fertiliser_Products_Data1(), FertiliserProducts[[#Headers],[Company]],1)</f>
        <v>L</v>
      </c>
      <c r="G115" s="148" cm="1">
        <f t="array" ref="G115">Common_InputFunctions.Utility_DisplayArrayInTable(Fertiliser_SourceData.Fertiliser_Products_Data1(), FertiliserProducts[[#Headers],[Company]],1)</f>
        <v>1.1379999999999999</v>
      </c>
      <c r="H115" s="148" t="str" cm="1">
        <f t="array" ref="H115">Common_InputFunctions.Utility_DisplayArrayInTable(Fertiliser_SourceData.Fertiliser_Products_Data1(), FertiliserProducts[[#Headers],[Company]],1)</f>
        <v/>
      </c>
      <c r="I115" s="148" t="str" cm="1">
        <f t="array" ref="I115">Common_InputFunctions.Utility_DisplayArrayInTable(Fertiliser_SourceData.Fertiliser_Products_Data1(), FertiliserProducts[[#Headers],[Company]],1)</f>
        <v/>
      </c>
      <c r="J115" s="148" t="str" cm="1">
        <f t="array" ref="J115">Common_InputFunctions.Utility_DisplayArrayInTable(Fertiliser_SourceData.Fertiliser_Products_Data1(), FertiliserProducts[[#Headers],[Company]],1)</f>
        <v/>
      </c>
      <c r="K115" s="148" t="str" cm="1">
        <f t="array" ref="K115">Common_InputFunctions.Utility_DisplayArrayInTable(Fertiliser_SourceData.Fertiliser_Products_Data1(), FertiliserProducts[[#Headers],[Company]],1)</f>
        <v/>
      </c>
      <c r="L115" s="148" t="str" cm="1">
        <f t="array" ref="L115">Common_InputFunctions.Utility_DisplayArrayInTable(Fertiliser_SourceData.Fertiliser_Products_Data1(), FertiliserProducts[[#Headers],[Company]],1)</f>
        <v/>
      </c>
      <c r="M115" s="148" t="str" cm="1">
        <f t="array" ref="M115">Common_InputFunctions.Utility_DisplayArrayInTable(Fertiliser_SourceData.Fertiliser_Products_Data1(), FertiliserProducts[[#Headers],[Company]],1)</f>
        <v/>
      </c>
      <c r="N115" s="148" t="str" cm="1">
        <f t="array" ref="N115">Common_InputFunctions.Utility_DisplayArrayInTable(Fertiliser_SourceData.Fertiliser_Products_Data1(), FertiliserProducts[[#Headers],[Company]],1)</f>
        <v/>
      </c>
      <c r="O115" s="148" t="str" cm="1">
        <f t="array" ref="O115">Common_InputFunctions.Utility_DisplayArrayInTable(Fertiliser_SourceData.Fertiliser_Products_Data1(), FertiliserProducts[[#Headers],[Company]],1)</f>
        <v>Calcium</v>
      </c>
      <c r="P115" s="148" cm="1">
        <f t="array" ref="P115">Common_InputFunctions.Utility_DisplayArrayInTable(Fertiliser_SourceData.Fertiliser_Products_Data1(), FertiliserProducts[[#Headers],[Company]],1)</f>
        <v>5.8999999999999997E-2</v>
      </c>
      <c r="Q115" s="148" t="str" cm="1">
        <f t="array" ref="Q115">Common_InputFunctions.Utility_DisplayArrayInTable(Fertiliser_SourceData.Fertiliser_Products_Data1(), FertiliserProducts[[#Headers],[Company]],1)</f>
        <v>Copper</v>
      </c>
      <c r="R115" s="148" cm="1">
        <f t="array" ref="R115">Common_InputFunctions.Utility_DisplayArrayInTable(Fertiliser_SourceData.Fertiliser_Products_Data1(), FertiliserProducts[[#Headers],[Company]],1)</f>
        <v>3.0000000000000001E-3</v>
      </c>
      <c r="S115" s="148" t="str" cm="1">
        <f t="array" ref="S115">Common_InputFunctions.Utility_DisplayArrayInTable(Fertiliser_SourceData.Fertiliser_Products_Data1(), FertiliserProducts[[#Headers],[Company]],1)</f>
        <v>Boron</v>
      </c>
      <c r="T115" s="148" cm="1">
        <f t="array" ref="T115">Common_InputFunctions.Utility_DisplayArrayInTable(Fertiliser_SourceData.Fertiliser_Products_Data1(), FertiliserProducts[[#Headers],[Company]],1)</f>
        <v>1E-3</v>
      </c>
      <c r="U115" s="148" t="str" cm="1">
        <f t="array" ref="U115">Common_InputFunctions.Utility_DisplayArrayInTable(Fertiliser_SourceData.Fertiliser_Products_Data1(), FertiliserProducts[[#Headers],[Company]],1)</f>
        <v/>
      </c>
      <c r="V115" s="148" t="str" cm="1">
        <f t="array" ref="V115">Common_InputFunctions.Utility_DisplayArrayInTable(Fertiliser_SourceData.Fertiliser_Products_Data1(), FertiliserProducts[[#Headers],[Company]],1)</f>
        <v/>
      </c>
      <c r="W115" s="148" t="str" cm="1">
        <f t="array" ref="W115">Common_InputFunctions.Utility_DisplayArrayInTable(Fertiliser_SourceData.Fertiliser_Products_Data1(), FertiliserProducts[[#Headers],[Company]],1)</f>
        <v/>
      </c>
      <c r="X115" s="148" t="str" cm="1">
        <f t="array" ref="X115">Common_InputFunctions.Utility_DisplayArrayInTable(Fertiliser_SourceData.Fertiliser_Products_Data1(), FertiliserProducts[[#Headers],[Company]],1)</f>
        <v/>
      </c>
      <c r="Y115" s="148" t="str" cm="1">
        <f t="array" ref="Y115">Common_InputFunctions.Utility_DisplayArrayInTable(Fertiliser_SourceData.Fertiliser_Products_Data1(), FertiliserProducts[[#Headers],[Company]],1)</f>
        <v/>
      </c>
      <c r="Z115" s="148" t="str" cm="1">
        <f t="array" ref="Z115">Common_InputFunctions.Utility_DisplayArrayInTable(Fertiliser_SourceData.Fertiliser_Products_Data1(), FertiliserProducts[[#Headers],[Company]],1)</f>
        <v/>
      </c>
      <c r="AA115" s="148" t="str" cm="1">
        <f t="array" ref="AA115">Common_InputFunctions.Utility_DisplayArrayInTable(Fertiliser_SourceData.Fertiliser_Products_Data1(), FertiliserProducts[[#Headers],[Company]],1)</f>
        <v/>
      </c>
      <c r="AB115" s="148" t="str" cm="1">
        <f t="array" ref="AB115">Common_InputFunctions.Utility_DisplayArrayInTable(Fertiliser_SourceData.Fertiliser_Products_Data1(), FertiliserProducts[[#Headers],[Company]],1)</f>
        <v/>
      </c>
      <c r="AC115" s="148" t="str" cm="1">
        <f t="array" ref="AC115">Common_InputFunctions.Utility_DisplayArrayInTable(Fertiliser_SourceData.Fertiliser_Products_Data1(), FertiliserProducts[[#Headers],[Company]],1)</f>
        <v/>
      </c>
      <c r="AD115" s="148" t="str" cm="1">
        <f t="array" ref="AD115">Common_InputFunctions.Utility_DisplayArrayInTable(Fertiliser_SourceData.Fertiliser_Products_Data1(), FertiliserProducts[[#Headers],[Company]],1)</f>
        <v/>
      </c>
      <c r="AE115" s="148" t="str" cm="1">
        <f t="array" ref="AE115">Common_InputFunctions.Utility_DisplayArrayInTable(Fertiliser_SourceData.Fertiliser_Products_Data1(), FertiliserProducts[[#Headers],[Company]],1)</f>
        <v/>
      </c>
      <c r="AF115" s="148" t="str" cm="1">
        <f t="array" ref="AF115">Common_InputFunctions.Utility_DisplayArrayInTable(Fertiliser_SourceData.Fertiliser_Products_Data1(), FertiliserProducts[[#Headers],[Company]],1)</f>
        <v/>
      </c>
      <c r="AG115" s="148" t="str" cm="1">
        <f t="array" ref="AG115">Common_InputFunctions.Utility_DisplayArrayInTable(Fertiliser_SourceData.Fertiliser_Products_Data1(), FertiliserProducts[[#Headers],[Company]],1)</f>
        <v/>
      </c>
      <c r="AH115" s="148" t="str" cm="1">
        <f t="array" ref="AH115">Common_InputFunctions.Utility_DisplayArrayInTable(Fertiliser_SourceData.Fertiliser_Products_Data1(), FertiliserProducts[[#Headers],[Company]],1)</f>
        <v/>
      </c>
      <c r="AK115" s="1"/>
      <c r="AL115" s="1"/>
      <c r="AM115" s="1"/>
    </row>
    <row r="116" spans="1:39" ht="20.100000000000001" customHeight="1" x14ac:dyDescent="0.2">
      <c r="D116" s="148" t="str" cm="1">
        <f t="array" ref="D116">Common_InputFunctions.Utility_DisplayArrayInTable(Fertiliser_SourceData.Fertiliser_Products_Data1(), FertiliserProducts[[#Headers],[Company]],1)</f>
        <v>Incitec Pivot Fertilisers</v>
      </c>
      <c r="E116" s="148" t="str" cm="1">
        <f t="array" ref="E116">Common_InputFunctions.Utility_DisplayArrayInTable(Fertiliser_SourceData.Fertiliser_Products_Data1(), FertiliserProducts[[#Headers],[Company]],1)</f>
        <v>CK55</v>
      </c>
      <c r="F116" s="148" t="str" cm="1">
        <f t="array" ref="F116">Common_InputFunctions.Utility_DisplayArrayInTable(Fertiliser_SourceData.Fertiliser_Products_Data1(), FertiliserProducts[[#Headers],[Company]],1)</f>
        <v>kg</v>
      </c>
      <c r="G116" s="148" cm="1">
        <f t="array" ref="G116">Common_InputFunctions.Utility_DisplayArrayInTable(Fertiliser_SourceData.Fertiliser_Products_Data1(), FertiliserProducts[[#Headers],[Company]],1)</f>
        <v>1</v>
      </c>
      <c r="H116" s="148" t="str" cm="1">
        <f t="array" ref="H116">Common_InputFunctions.Utility_DisplayArrayInTable(Fertiliser_SourceData.Fertiliser_Products_Data1(), FertiliserProducts[[#Headers],[Company]],1)</f>
        <v/>
      </c>
      <c r="I116" s="148" t="str" cm="1">
        <f t="array" ref="I116">Common_InputFunctions.Utility_DisplayArrayInTable(Fertiliser_SourceData.Fertiliser_Products_Data1(), FertiliserProducts[[#Headers],[Company]],1)</f>
        <v/>
      </c>
      <c r="J116" s="148" t="str" cm="1">
        <f t="array" ref="J116">Common_InputFunctions.Utility_DisplayArrayInTable(Fertiliser_SourceData.Fertiliser_Products_Data1(), FertiliserProducts[[#Headers],[Company]],1)</f>
        <v/>
      </c>
      <c r="K116" s="148" cm="1">
        <f t="array" ref="K116">Common_InputFunctions.Utility_DisplayArrayInTable(Fertiliser_SourceData.Fertiliser_Products_Data1(), FertiliserProducts[[#Headers],[Company]],1)</f>
        <v>13.5</v>
      </c>
      <c r="L116" s="148" cm="1">
        <f t="array" ref="L116">Common_InputFunctions.Utility_DisplayArrayInTable(Fertiliser_SourceData.Fertiliser_Products_Data1(), FertiliserProducts[[#Headers],[Company]],1)</f>
        <v>15</v>
      </c>
      <c r="M116" s="148" cm="1">
        <f t="array" ref="M116">Common_InputFunctions.Utility_DisplayArrayInTable(Fertiliser_SourceData.Fertiliser_Products_Data1(), FertiliserProducts[[#Headers],[Company]],1)</f>
        <v>6.25</v>
      </c>
      <c r="N116" s="148" cm="1">
        <f t="array" ref="N116">Common_InputFunctions.Utility_DisplayArrayInTable(Fertiliser_SourceData.Fertiliser_Products_Data1(), FertiliserProducts[[#Headers],[Company]],1)</f>
        <v>1.2</v>
      </c>
      <c r="O116" s="148" t="str" cm="1">
        <f t="array" ref="O116">Common_InputFunctions.Utility_DisplayArrayInTable(Fertiliser_SourceData.Fertiliser_Products_Data1(), FertiliserProducts[[#Headers],[Company]],1)</f>
        <v>Phosphorus - Generic</v>
      </c>
      <c r="P116" s="148" cm="1">
        <f t="array" ref="P116">Common_InputFunctions.Utility_DisplayArrayInTable(Fertiliser_SourceData.Fertiliser_Products_Data1(), FertiliserProducts[[#Headers],[Company]],1)</f>
        <v>0.15</v>
      </c>
      <c r="Q116" s="148" t="str" cm="1">
        <f t="array" ref="Q116">Common_InputFunctions.Utility_DisplayArrayInTable(Fertiliser_SourceData.Fertiliser_Products_Data1(), FertiliserProducts[[#Headers],[Company]],1)</f>
        <v>Nitrogen - Ammoniacal</v>
      </c>
      <c r="R116" s="148" cm="1">
        <f t="array" ref="R116">Common_InputFunctions.Utility_DisplayArrayInTable(Fertiliser_SourceData.Fertiliser_Products_Data1(), FertiliserProducts[[#Headers],[Company]],1)</f>
        <v>0.13500000000000001</v>
      </c>
      <c r="S116" s="148" t="str" cm="1">
        <f t="array" ref="S116">Common_InputFunctions.Utility_DisplayArrayInTable(Fertiliser_SourceData.Fertiliser_Products_Data1(), FertiliserProducts[[#Headers],[Company]],1)</f>
        <v>Muriate of potash (MOP)</v>
      </c>
      <c r="T116" s="148" cm="1">
        <f t="array" ref="T116">Common_InputFunctions.Utility_DisplayArrayInTable(Fertiliser_SourceData.Fertiliser_Products_Data1(), FertiliserProducts[[#Headers],[Company]],1)</f>
        <v>0.125</v>
      </c>
      <c r="U116" s="148" t="str" cm="1">
        <f t="array" ref="U116">Common_InputFunctions.Utility_DisplayArrayInTable(Fertiliser_SourceData.Fertiliser_Products_Data1(), FertiliserProducts[[#Headers],[Company]],1)</f>
        <v>Fluoride</v>
      </c>
      <c r="V116" s="148" cm="1">
        <f t="array" ref="V116">Common_InputFunctions.Utility_DisplayArrayInTable(Fertiliser_SourceData.Fertiliser_Products_Data1(), FertiliserProducts[[#Headers],[Company]],1)</f>
        <v>2.3E-2</v>
      </c>
      <c r="W116" s="148" t="str" cm="1">
        <f t="array" ref="W116">Common_InputFunctions.Utility_DisplayArrayInTable(Fertiliser_SourceData.Fertiliser_Products_Data1(), FertiliserProducts[[#Headers],[Company]],1)</f>
        <v>Sulfur - Generic</v>
      </c>
      <c r="X116" s="148" cm="1">
        <f t="array" ref="X116">Common_InputFunctions.Utility_DisplayArrayInTable(Fertiliser_SourceData.Fertiliser_Products_Data1(), FertiliserProducts[[#Headers],[Company]],1)</f>
        <v>1.2E-2</v>
      </c>
      <c r="Y116" s="148" t="str" cm="1">
        <f t="array" ref="Y116">Common_InputFunctions.Utility_DisplayArrayInTable(Fertiliser_SourceData.Fertiliser_Products_Data1(), FertiliserProducts[[#Headers],[Company]],1)</f>
        <v/>
      </c>
      <c r="Z116" s="148" t="str" cm="1">
        <f t="array" ref="Z116">Common_InputFunctions.Utility_DisplayArrayInTable(Fertiliser_SourceData.Fertiliser_Products_Data1(), FertiliserProducts[[#Headers],[Company]],1)</f>
        <v/>
      </c>
      <c r="AA116" s="148" t="str" cm="1">
        <f t="array" ref="AA116">Common_InputFunctions.Utility_DisplayArrayInTable(Fertiliser_SourceData.Fertiliser_Products_Data1(), FertiliserProducts[[#Headers],[Company]],1)</f>
        <v/>
      </c>
      <c r="AB116" s="148" t="str" cm="1">
        <f t="array" ref="AB116">Common_InputFunctions.Utility_DisplayArrayInTable(Fertiliser_SourceData.Fertiliser_Products_Data1(), FertiliserProducts[[#Headers],[Company]],1)</f>
        <v/>
      </c>
      <c r="AC116" s="148" t="str" cm="1">
        <f t="array" ref="AC116">Common_InputFunctions.Utility_DisplayArrayInTable(Fertiliser_SourceData.Fertiliser_Products_Data1(), FertiliserProducts[[#Headers],[Company]],1)</f>
        <v/>
      </c>
      <c r="AD116" s="148" t="str" cm="1">
        <f t="array" ref="AD116">Common_InputFunctions.Utility_DisplayArrayInTable(Fertiliser_SourceData.Fertiliser_Products_Data1(), FertiliserProducts[[#Headers],[Company]],1)</f>
        <v/>
      </c>
      <c r="AE116" s="148" t="str" cm="1">
        <f t="array" ref="AE116">Common_InputFunctions.Utility_DisplayArrayInTable(Fertiliser_SourceData.Fertiliser_Products_Data1(), FertiliserProducts[[#Headers],[Company]],1)</f>
        <v/>
      </c>
      <c r="AF116" s="148" t="str" cm="1">
        <f t="array" ref="AF116">Common_InputFunctions.Utility_DisplayArrayInTable(Fertiliser_SourceData.Fertiliser_Products_Data1(), FertiliserProducts[[#Headers],[Company]],1)</f>
        <v/>
      </c>
      <c r="AG116" s="148" t="str" cm="1">
        <f t="array" ref="AG116">Common_InputFunctions.Utility_DisplayArrayInTable(Fertiliser_SourceData.Fertiliser_Products_Data1(), FertiliserProducts[[#Headers],[Company]],1)</f>
        <v/>
      </c>
      <c r="AH116" s="148" t="str" cm="1">
        <f t="array" ref="AH116">Common_InputFunctions.Utility_DisplayArrayInTable(Fertiliser_SourceData.Fertiliser_Products_Data1(), FertiliserProducts[[#Headers],[Company]],1)</f>
        <v/>
      </c>
      <c r="AK116" s="1"/>
      <c r="AL116" s="1"/>
      <c r="AM116" s="1"/>
    </row>
    <row r="117" spans="1:39" ht="20.100000000000001" customHeight="1" x14ac:dyDescent="0.2">
      <c r="D117" s="148" t="str" cm="1">
        <f t="array" ref="D117">Common_InputFunctions.Utility_DisplayArrayInTable(Fertiliser_SourceData.Fertiliser_Products_Data1(), FertiliserProducts[[#Headers],[Company]],1)</f>
        <v>Switch Ag</v>
      </c>
      <c r="E117" s="148" t="str" cm="1">
        <f t="array" ref="E117">Common_InputFunctions.Utility_DisplayArrayInTable(Fertiliser_SourceData.Fertiliser_Products_Data1(), FertiliserProducts[[#Headers],[Company]],1)</f>
        <v>Crop K</v>
      </c>
      <c r="F117" s="148" t="str" cm="1">
        <f t="array" ref="F117">Common_InputFunctions.Utility_DisplayArrayInTable(Fertiliser_SourceData.Fertiliser_Products_Data1(), FertiliserProducts[[#Headers],[Company]],1)</f>
        <v>L</v>
      </c>
      <c r="G117" s="148" cm="1">
        <f t="array" ref="G117">Common_InputFunctions.Utility_DisplayArrayInTable(Fertiliser_SourceData.Fertiliser_Products_Data1(), FertiliserProducts[[#Headers],[Company]],1)</f>
        <v>1.25</v>
      </c>
      <c r="H117" s="148" t="str" cm="1">
        <f t="array" ref="H117">Common_InputFunctions.Utility_DisplayArrayInTable(Fertiliser_SourceData.Fertiliser_Products_Data1(), FertiliserProducts[[#Headers],[Company]],1)</f>
        <v/>
      </c>
      <c r="I117" s="148" t="str" cm="1">
        <f t="array" ref="I117">Common_InputFunctions.Utility_DisplayArrayInTable(Fertiliser_SourceData.Fertiliser_Products_Data1(), FertiliserProducts[[#Headers],[Company]],1)</f>
        <v/>
      </c>
      <c r="J117" s="148" t="str" cm="1">
        <f t="array" ref="J117">Common_InputFunctions.Utility_DisplayArrayInTable(Fertiliser_SourceData.Fertiliser_Products_Data1(), FertiliserProducts[[#Headers],[Company]],1)</f>
        <v/>
      </c>
      <c r="K117" s="148" cm="1">
        <f t="array" ref="K117">Common_InputFunctions.Utility_DisplayArrayInTable(Fertiliser_SourceData.Fertiliser_Products_Data1(), FertiliserProducts[[#Headers],[Company]],1)</f>
        <v>3</v>
      </c>
      <c r="L117" s="148" t="str" cm="1">
        <f t="array" ref="L117">Common_InputFunctions.Utility_DisplayArrayInTable(Fertiliser_SourceData.Fertiliser_Products_Data1(), FertiliserProducts[[#Headers],[Company]],1)</f>
        <v/>
      </c>
      <c r="M117" s="148" cm="1">
        <f t="array" ref="M117">Common_InputFunctions.Utility_DisplayArrayInTable(Fertiliser_SourceData.Fertiliser_Products_Data1(), FertiliserProducts[[#Headers],[Company]],1)</f>
        <v>21</v>
      </c>
      <c r="N117" s="148" t="str" cm="1">
        <f t="array" ref="N117">Common_InputFunctions.Utility_DisplayArrayInTable(Fertiliser_SourceData.Fertiliser_Products_Data1(), FertiliserProducts[[#Headers],[Company]],1)</f>
        <v/>
      </c>
      <c r="O117" s="148" t="str" cm="1">
        <f t="array" ref="O117">Common_InputFunctions.Utility_DisplayArrayInTable(Fertiliser_SourceData.Fertiliser_Products_Data1(), FertiliserProducts[[#Headers],[Company]],1)</f>
        <v>Potassium - Generic</v>
      </c>
      <c r="P117" s="148" cm="1">
        <f t="array" ref="P117">Common_InputFunctions.Utility_DisplayArrayInTable(Fertiliser_SourceData.Fertiliser_Products_Data1(), FertiliserProducts[[#Headers],[Company]],1)</f>
        <v>0.21</v>
      </c>
      <c r="Q117" s="148" t="str" cm="1">
        <f t="array" ref="Q117">Common_InputFunctions.Utility_DisplayArrayInTable(Fertiliser_SourceData.Fertiliser_Products_Data1(), FertiliserProducts[[#Headers],[Company]],1)</f>
        <v>Nitrogen - Generic</v>
      </c>
      <c r="R117" s="148" cm="1">
        <f t="array" ref="R117">Common_InputFunctions.Utility_DisplayArrayInTable(Fertiliser_SourceData.Fertiliser_Products_Data1(), FertiliserProducts[[#Headers],[Company]],1)</f>
        <v>0.03</v>
      </c>
      <c r="S117" s="148" t="str" cm="1">
        <f t="array" ref="S117">Common_InputFunctions.Utility_DisplayArrayInTable(Fertiliser_SourceData.Fertiliser_Products_Data1(), FertiliserProducts[[#Headers],[Company]],1)</f>
        <v/>
      </c>
      <c r="T117" s="148" t="str" cm="1">
        <f t="array" ref="T117">Common_InputFunctions.Utility_DisplayArrayInTable(Fertiliser_SourceData.Fertiliser_Products_Data1(), FertiliserProducts[[#Headers],[Company]],1)</f>
        <v/>
      </c>
      <c r="U117" s="148" t="str" cm="1">
        <f t="array" ref="U117">Common_InputFunctions.Utility_DisplayArrayInTable(Fertiliser_SourceData.Fertiliser_Products_Data1(), FertiliserProducts[[#Headers],[Company]],1)</f>
        <v/>
      </c>
      <c r="V117" s="148" t="str" cm="1">
        <f t="array" ref="V117">Common_InputFunctions.Utility_DisplayArrayInTable(Fertiliser_SourceData.Fertiliser_Products_Data1(), FertiliserProducts[[#Headers],[Company]],1)</f>
        <v/>
      </c>
      <c r="W117" s="148" t="str" cm="1">
        <f t="array" ref="W117">Common_InputFunctions.Utility_DisplayArrayInTable(Fertiliser_SourceData.Fertiliser_Products_Data1(), FertiliserProducts[[#Headers],[Company]],1)</f>
        <v/>
      </c>
      <c r="X117" s="148" t="str" cm="1">
        <f t="array" ref="X117">Common_InputFunctions.Utility_DisplayArrayInTable(Fertiliser_SourceData.Fertiliser_Products_Data1(), FertiliserProducts[[#Headers],[Company]],1)</f>
        <v/>
      </c>
      <c r="Y117" s="148" t="str" cm="1">
        <f t="array" ref="Y117">Common_InputFunctions.Utility_DisplayArrayInTable(Fertiliser_SourceData.Fertiliser_Products_Data1(), FertiliserProducts[[#Headers],[Company]],1)</f>
        <v/>
      </c>
      <c r="Z117" s="148" t="str" cm="1">
        <f t="array" ref="Z117">Common_InputFunctions.Utility_DisplayArrayInTable(Fertiliser_SourceData.Fertiliser_Products_Data1(), FertiliserProducts[[#Headers],[Company]],1)</f>
        <v/>
      </c>
      <c r="AA117" s="148" t="str" cm="1">
        <f t="array" ref="AA117">Common_InputFunctions.Utility_DisplayArrayInTable(Fertiliser_SourceData.Fertiliser_Products_Data1(), FertiliserProducts[[#Headers],[Company]],1)</f>
        <v/>
      </c>
      <c r="AB117" s="148" t="str" cm="1">
        <f t="array" ref="AB117">Common_InputFunctions.Utility_DisplayArrayInTable(Fertiliser_SourceData.Fertiliser_Products_Data1(), FertiliserProducts[[#Headers],[Company]],1)</f>
        <v/>
      </c>
      <c r="AC117" s="148" t="str" cm="1">
        <f t="array" ref="AC117">Common_InputFunctions.Utility_DisplayArrayInTable(Fertiliser_SourceData.Fertiliser_Products_Data1(), FertiliserProducts[[#Headers],[Company]],1)</f>
        <v/>
      </c>
      <c r="AD117" s="148" t="str" cm="1">
        <f t="array" ref="AD117">Common_InputFunctions.Utility_DisplayArrayInTable(Fertiliser_SourceData.Fertiliser_Products_Data1(), FertiliserProducts[[#Headers],[Company]],1)</f>
        <v/>
      </c>
      <c r="AE117" s="148" t="str" cm="1">
        <f t="array" ref="AE117">Common_InputFunctions.Utility_DisplayArrayInTable(Fertiliser_SourceData.Fertiliser_Products_Data1(), FertiliserProducts[[#Headers],[Company]],1)</f>
        <v/>
      </c>
      <c r="AF117" s="148" t="str" cm="1">
        <f t="array" ref="AF117">Common_InputFunctions.Utility_DisplayArrayInTable(Fertiliser_SourceData.Fertiliser_Products_Data1(), FertiliserProducts[[#Headers],[Company]],1)</f>
        <v/>
      </c>
      <c r="AG117" s="148" t="str" cm="1">
        <f t="array" ref="AG117">Common_InputFunctions.Utility_DisplayArrayInTable(Fertiliser_SourceData.Fertiliser_Products_Data1(), FertiliserProducts[[#Headers],[Company]],1)</f>
        <v/>
      </c>
      <c r="AH117" s="148" t="str" cm="1">
        <f t="array" ref="AH117">Common_InputFunctions.Utility_DisplayArrayInTable(Fertiliser_SourceData.Fertiliser_Products_Data1(), FertiliserProducts[[#Headers],[Company]],1)</f>
        <v/>
      </c>
      <c r="AK117" s="1"/>
      <c r="AL117" s="1"/>
      <c r="AM117" s="1"/>
    </row>
    <row r="118" spans="1:39" ht="20.100000000000001" customHeight="1" x14ac:dyDescent="0.2">
      <c r="D118" s="148" t="str" cm="1">
        <f t="array" ref="D118">Common_InputFunctions.Utility_DisplayArrayInTable(Fertiliser_SourceData.Fertiliser_Products_Data1(), FertiliserProducts[[#Headers],[Company]],1)</f>
        <v>Switch Ag</v>
      </c>
      <c r="E118" s="148" t="str" cm="1">
        <f t="array" ref="E118">Common_InputFunctions.Utility_DisplayArrayInTable(Fertiliser_SourceData.Fertiliser_Products_Data1(), FertiliserProducts[[#Headers],[Company]],1)</f>
        <v>Crop Starter</v>
      </c>
      <c r="F118" s="148" t="str" cm="1">
        <f t="array" ref="F118">Common_InputFunctions.Utility_DisplayArrayInTable(Fertiliser_SourceData.Fertiliser_Products_Data1(), FertiliserProducts[[#Headers],[Company]],1)</f>
        <v>L</v>
      </c>
      <c r="G118" s="148" cm="1">
        <f t="array" ref="G118">Common_InputFunctions.Utility_DisplayArrayInTable(Fertiliser_SourceData.Fertiliser_Products_Data1(), FertiliserProducts[[#Headers],[Company]],1)</f>
        <v>1.2</v>
      </c>
      <c r="H118" s="148" t="str" cm="1">
        <f t="array" ref="H118">Common_InputFunctions.Utility_DisplayArrayInTable(Fertiliser_SourceData.Fertiliser_Products_Data1(), FertiliserProducts[[#Headers],[Company]],1)</f>
        <v/>
      </c>
      <c r="I118" s="148" t="str" cm="1">
        <f t="array" ref="I118">Common_InputFunctions.Utility_DisplayArrayInTable(Fertiliser_SourceData.Fertiliser_Products_Data1(), FertiliserProducts[[#Headers],[Company]],1)</f>
        <v/>
      </c>
      <c r="J118" s="148" t="str" cm="1">
        <f t="array" ref="J118">Common_InputFunctions.Utility_DisplayArrayInTable(Fertiliser_SourceData.Fertiliser_Products_Data1(), FertiliserProducts[[#Headers],[Company]],1)</f>
        <v/>
      </c>
      <c r="K118" s="148" cm="1">
        <f t="array" ref="K118">Common_InputFunctions.Utility_DisplayArrayInTable(Fertiliser_SourceData.Fertiliser_Products_Data1(), FertiliserProducts[[#Headers],[Company]],1)</f>
        <v>5</v>
      </c>
      <c r="L118" s="148" cm="1">
        <f t="array" ref="L118">Common_InputFunctions.Utility_DisplayArrayInTable(Fertiliser_SourceData.Fertiliser_Products_Data1(), FertiliserProducts[[#Headers],[Company]],1)</f>
        <v>3</v>
      </c>
      <c r="M118" s="148" cm="1">
        <f t="array" ref="M118">Common_InputFunctions.Utility_DisplayArrayInTable(Fertiliser_SourceData.Fertiliser_Products_Data1(), FertiliserProducts[[#Headers],[Company]],1)</f>
        <v>8</v>
      </c>
      <c r="N118" s="148" t="str" cm="1">
        <f t="array" ref="N118">Common_InputFunctions.Utility_DisplayArrayInTable(Fertiliser_SourceData.Fertiliser_Products_Data1(), FertiliserProducts[[#Headers],[Company]],1)</f>
        <v/>
      </c>
      <c r="O118" s="148" t="str" cm="1">
        <f t="array" ref="O118">Common_InputFunctions.Utility_DisplayArrayInTable(Fertiliser_SourceData.Fertiliser_Products_Data1(), FertiliserProducts[[#Headers],[Company]],1)</f>
        <v>Potassium - Generic</v>
      </c>
      <c r="P118" s="148" cm="1">
        <f t="array" ref="P118">Common_InputFunctions.Utility_DisplayArrayInTable(Fertiliser_SourceData.Fertiliser_Products_Data1(), FertiliserProducts[[#Headers],[Company]],1)</f>
        <v>0.08</v>
      </c>
      <c r="Q118" s="148" t="str" cm="1">
        <f t="array" ref="Q118">Common_InputFunctions.Utility_DisplayArrayInTable(Fertiliser_SourceData.Fertiliser_Products_Data1(), FertiliserProducts[[#Headers],[Company]],1)</f>
        <v>Nitrogen - Generic</v>
      </c>
      <c r="R118" s="148" cm="1">
        <f t="array" ref="R118">Common_InputFunctions.Utility_DisplayArrayInTable(Fertiliser_SourceData.Fertiliser_Products_Data1(), FertiliserProducts[[#Headers],[Company]],1)</f>
        <v>0.05</v>
      </c>
      <c r="S118" s="148" t="str" cm="1">
        <f t="array" ref="S118">Common_InputFunctions.Utility_DisplayArrayInTable(Fertiliser_SourceData.Fertiliser_Products_Data1(), FertiliserProducts[[#Headers],[Company]],1)</f>
        <v>Phosphorus - Generic</v>
      </c>
      <c r="T118" s="148" cm="1">
        <f t="array" ref="T118">Common_InputFunctions.Utility_DisplayArrayInTable(Fertiliser_SourceData.Fertiliser_Products_Data1(), FertiliserProducts[[#Headers],[Company]],1)</f>
        <v>0.03</v>
      </c>
      <c r="U118" s="148" t="str" cm="1">
        <f t="array" ref="U118">Common_InputFunctions.Utility_DisplayArrayInTable(Fertiliser_SourceData.Fertiliser_Products_Data1(), FertiliserProducts[[#Headers],[Company]],1)</f>
        <v/>
      </c>
      <c r="V118" s="148" t="str" cm="1">
        <f t="array" ref="V118">Common_InputFunctions.Utility_DisplayArrayInTable(Fertiliser_SourceData.Fertiliser_Products_Data1(), FertiliserProducts[[#Headers],[Company]],1)</f>
        <v/>
      </c>
      <c r="W118" s="148" t="str" cm="1">
        <f t="array" ref="W118">Common_InputFunctions.Utility_DisplayArrayInTable(Fertiliser_SourceData.Fertiliser_Products_Data1(), FertiliserProducts[[#Headers],[Company]],1)</f>
        <v/>
      </c>
      <c r="X118" s="148" t="str" cm="1">
        <f t="array" ref="X118">Common_InputFunctions.Utility_DisplayArrayInTable(Fertiliser_SourceData.Fertiliser_Products_Data1(), FertiliserProducts[[#Headers],[Company]],1)</f>
        <v/>
      </c>
      <c r="Y118" s="148" t="str" cm="1">
        <f t="array" ref="Y118">Common_InputFunctions.Utility_DisplayArrayInTable(Fertiliser_SourceData.Fertiliser_Products_Data1(), FertiliserProducts[[#Headers],[Company]],1)</f>
        <v/>
      </c>
      <c r="Z118" s="148" t="str" cm="1">
        <f t="array" ref="Z118">Common_InputFunctions.Utility_DisplayArrayInTable(Fertiliser_SourceData.Fertiliser_Products_Data1(), FertiliserProducts[[#Headers],[Company]],1)</f>
        <v/>
      </c>
      <c r="AA118" s="148" t="str" cm="1">
        <f t="array" ref="AA118">Common_InputFunctions.Utility_DisplayArrayInTable(Fertiliser_SourceData.Fertiliser_Products_Data1(), FertiliserProducts[[#Headers],[Company]],1)</f>
        <v/>
      </c>
      <c r="AB118" s="148" t="str" cm="1">
        <f t="array" ref="AB118">Common_InputFunctions.Utility_DisplayArrayInTable(Fertiliser_SourceData.Fertiliser_Products_Data1(), FertiliserProducts[[#Headers],[Company]],1)</f>
        <v/>
      </c>
      <c r="AC118" s="148" t="str" cm="1">
        <f t="array" ref="AC118">Common_InputFunctions.Utility_DisplayArrayInTable(Fertiliser_SourceData.Fertiliser_Products_Data1(), FertiliserProducts[[#Headers],[Company]],1)</f>
        <v/>
      </c>
      <c r="AD118" s="148" t="str" cm="1">
        <f t="array" ref="AD118">Common_InputFunctions.Utility_DisplayArrayInTable(Fertiliser_SourceData.Fertiliser_Products_Data1(), FertiliserProducts[[#Headers],[Company]],1)</f>
        <v/>
      </c>
      <c r="AE118" s="148" t="str" cm="1">
        <f t="array" ref="AE118">Common_InputFunctions.Utility_DisplayArrayInTable(Fertiliser_SourceData.Fertiliser_Products_Data1(), FertiliserProducts[[#Headers],[Company]],1)</f>
        <v/>
      </c>
      <c r="AF118" s="148" t="str" cm="1">
        <f t="array" ref="AF118">Common_InputFunctions.Utility_DisplayArrayInTable(Fertiliser_SourceData.Fertiliser_Products_Data1(), FertiliserProducts[[#Headers],[Company]],1)</f>
        <v/>
      </c>
      <c r="AG118" s="148" t="str" cm="1">
        <f t="array" ref="AG118">Common_InputFunctions.Utility_DisplayArrayInTable(Fertiliser_SourceData.Fertiliser_Products_Data1(), FertiliserProducts[[#Headers],[Company]],1)</f>
        <v/>
      </c>
      <c r="AH118" s="148" t="str" cm="1">
        <f t="array" ref="AH118">Common_InputFunctions.Utility_DisplayArrayInTable(Fertiliser_SourceData.Fertiliser_Products_Data1(), FertiliserProducts[[#Headers],[Company]],1)</f>
        <v/>
      </c>
      <c r="AK118" s="1"/>
      <c r="AL118" s="1"/>
      <c r="AM118" s="1"/>
    </row>
    <row r="119" spans="1:39" ht="20.100000000000001" customHeight="1" x14ac:dyDescent="0.2">
      <c r="D119" s="148" t="str" cm="1">
        <f t="array" ref="D119">Common_InputFunctions.Utility_DisplayArrayInTable(Fertiliser_SourceData.Fertiliser_Products_Data1(), FertiliserProducts[[#Headers],[Company]],1)</f>
        <v>Incitec Pivot Fertilisers</v>
      </c>
      <c r="E119" s="148" t="str" cm="1">
        <f t="array" ref="E119">Common_InputFunctions.Utility_DisplayArrayInTable(Fertiliser_SourceData.Fertiliser_Products_Data1(), FertiliserProducts[[#Headers],[Company]],1)</f>
        <v>Gran-Am</v>
      </c>
      <c r="F119" s="148" t="str" cm="1">
        <f t="array" ref="F119">Common_InputFunctions.Utility_DisplayArrayInTable(Fertiliser_SourceData.Fertiliser_Products_Data1(), FertiliserProducts[[#Headers],[Company]],1)</f>
        <v>kg</v>
      </c>
      <c r="G119" s="148" cm="1">
        <f t="array" ref="G119">Common_InputFunctions.Utility_DisplayArrayInTable(Fertiliser_SourceData.Fertiliser_Products_Data1(), FertiliserProducts[[#Headers],[Company]],1)</f>
        <v>1</v>
      </c>
      <c r="H119" s="148" t="str" cm="1">
        <f t="array" ref="H119">Common_InputFunctions.Utility_DisplayArrayInTable(Fertiliser_SourceData.Fertiliser_Products_Data1(), FertiliserProducts[[#Headers],[Company]],1)</f>
        <v/>
      </c>
      <c r="I119" s="148" t="str" cm="1">
        <f t="array" ref="I119">Common_InputFunctions.Utility_DisplayArrayInTable(Fertiliser_SourceData.Fertiliser_Products_Data1(), FertiliserProducts[[#Headers],[Company]],1)</f>
        <v/>
      </c>
      <c r="J119" s="148" t="str" cm="1">
        <f t="array" ref="J119">Common_InputFunctions.Utility_DisplayArrayInTable(Fertiliser_SourceData.Fertiliser_Products_Data1(), FertiliserProducts[[#Headers],[Company]],1)</f>
        <v/>
      </c>
      <c r="K119" s="148" cm="1">
        <f t="array" ref="K119">Common_InputFunctions.Utility_DisplayArrayInTable(Fertiliser_SourceData.Fertiliser_Products_Data1(), FertiliserProducts[[#Headers],[Company]],1)</f>
        <v>21</v>
      </c>
      <c r="L119" s="148" t="str" cm="1">
        <f t="array" ref="L119">Common_InputFunctions.Utility_DisplayArrayInTable(Fertiliser_SourceData.Fertiliser_Products_Data1(), FertiliserProducts[[#Headers],[Company]],1)</f>
        <v/>
      </c>
      <c r="M119" s="148" t="str" cm="1">
        <f t="array" ref="M119">Common_InputFunctions.Utility_DisplayArrayInTable(Fertiliser_SourceData.Fertiliser_Products_Data1(), FertiliserProducts[[#Headers],[Company]],1)</f>
        <v/>
      </c>
      <c r="N119" s="148" cm="1">
        <f t="array" ref="N119">Common_InputFunctions.Utility_DisplayArrayInTable(Fertiliser_SourceData.Fertiliser_Products_Data1(), FertiliserProducts[[#Headers],[Company]],1)</f>
        <v>24</v>
      </c>
      <c r="O119" s="148" t="str" cm="1">
        <f t="array" ref="O119">Common_InputFunctions.Utility_DisplayArrayInTable(Fertiliser_SourceData.Fertiliser_Products_Data1(), FertiliserProducts[[#Headers],[Company]],1)</f>
        <v>Sulphate of ammonia (SOA)</v>
      </c>
      <c r="P119" s="148" cm="1">
        <f t="array" ref="P119">Common_InputFunctions.Utility_DisplayArrayInTable(Fertiliser_SourceData.Fertiliser_Products_Data1(), FertiliserProducts[[#Headers],[Company]],1)</f>
        <v>1</v>
      </c>
      <c r="Q119" s="148" t="str" cm="1">
        <f t="array" ref="Q119">Common_InputFunctions.Utility_DisplayArrayInTable(Fertiliser_SourceData.Fertiliser_Products_Data1(), FertiliserProducts[[#Headers],[Company]],1)</f>
        <v/>
      </c>
      <c r="R119" s="148" t="str" cm="1">
        <f t="array" ref="R119">Common_InputFunctions.Utility_DisplayArrayInTable(Fertiliser_SourceData.Fertiliser_Products_Data1(), FertiliserProducts[[#Headers],[Company]],1)</f>
        <v/>
      </c>
      <c r="S119" s="148" t="str" cm="1">
        <f t="array" ref="S119">Common_InputFunctions.Utility_DisplayArrayInTable(Fertiliser_SourceData.Fertiliser_Products_Data1(), FertiliserProducts[[#Headers],[Company]],1)</f>
        <v/>
      </c>
      <c r="T119" s="148" t="str" cm="1">
        <f t="array" ref="T119">Common_InputFunctions.Utility_DisplayArrayInTable(Fertiliser_SourceData.Fertiliser_Products_Data1(), FertiliserProducts[[#Headers],[Company]],1)</f>
        <v/>
      </c>
      <c r="U119" s="148" t="str" cm="1">
        <f t="array" ref="U119">Common_InputFunctions.Utility_DisplayArrayInTable(Fertiliser_SourceData.Fertiliser_Products_Data1(), FertiliserProducts[[#Headers],[Company]],1)</f>
        <v/>
      </c>
      <c r="V119" s="148" t="str" cm="1">
        <f t="array" ref="V119">Common_InputFunctions.Utility_DisplayArrayInTable(Fertiliser_SourceData.Fertiliser_Products_Data1(), FertiliserProducts[[#Headers],[Company]],1)</f>
        <v/>
      </c>
      <c r="W119" s="148" t="str" cm="1">
        <f t="array" ref="W119">Common_InputFunctions.Utility_DisplayArrayInTable(Fertiliser_SourceData.Fertiliser_Products_Data1(), FertiliserProducts[[#Headers],[Company]],1)</f>
        <v/>
      </c>
      <c r="X119" s="148" t="str" cm="1">
        <f t="array" ref="X119">Common_InputFunctions.Utility_DisplayArrayInTable(Fertiliser_SourceData.Fertiliser_Products_Data1(), FertiliserProducts[[#Headers],[Company]],1)</f>
        <v/>
      </c>
      <c r="Y119" s="148" t="str" cm="1">
        <f t="array" ref="Y119">Common_InputFunctions.Utility_DisplayArrayInTable(Fertiliser_SourceData.Fertiliser_Products_Data1(), FertiliserProducts[[#Headers],[Company]],1)</f>
        <v/>
      </c>
      <c r="Z119" s="148" t="str" cm="1">
        <f t="array" ref="Z119">Common_InputFunctions.Utility_DisplayArrayInTable(Fertiliser_SourceData.Fertiliser_Products_Data1(), FertiliserProducts[[#Headers],[Company]],1)</f>
        <v/>
      </c>
      <c r="AA119" s="148" t="str" cm="1">
        <f t="array" ref="AA119">Common_InputFunctions.Utility_DisplayArrayInTable(Fertiliser_SourceData.Fertiliser_Products_Data1(), FertiliserProducts[[#Headers],[Company]],1)</f>
        <v/>
      </c>
      <c r="AB119" s="148" t="str" cm="1">
        <f t="array" ref="AB119">Common_InputFunctions.Utility_DisplayArrayInTable(Fertiliser_SourceData.Fertiliser_Products_Data1(), FertiliserProducts[[#Headers],[Company]],1)</f>
        <v/>
      </c>
      <c r="AC119" s="148" t="str" cm="1">
        <f t="array" ref="AC119">Common_InputFunctions.Utility_DisplayArrayInTable(Fertiliser_SourceData.Fertiliser_Products_Data1(), FertiliserProducts[[#Headers],[Company]],1)</f>
        <v/>
      </c>
      <c r="AD119" s="148" t="str" cm="1">
        <f t="array" ref="AD119">Common_InputFunctions.Utility_DisplayArrayInTable(Fertiliser_SourceData.Fertiliser_Products_Data1(), FertiliserProducts[[#Headers],[Company]],1)</f>
        <v/>
      </c>
      <c r="AE119" s="148" t="str" cm="1">
        <f t="array" ref="AE119">Common_InputFunctions.Utility_DisplayArrayInTable(Fertiliser_SourceData.Fertiliser_Products_Data1(), FertiliserProducts[[#Headers],[Company]],1)</f>
        <v/>
      </c>
      <c r="AF119" s="148" t="str" cm="1">
        <f t="array" ref="AF119">Common_InputFunctions.Utility_DisplayArrayInTable(Fertiliser_SourceData.Fertiliser_Products_Data1(), FertiliserProducts[[#Headers],[Company]],1)</f>
        <v/>
      </c>
      <c r="AG119" s="148" t="str" cm="1">
        <f t="array" ref="AG119">Common_InputFunctions.Utility_DisplayArrayInTable(Fertiliser_SourceData.Fertiliser_Products_Data1(), FertiliserProducts[[#Headers],[Company]],1)</f>
        <v/>
      </c>
      <c r="AH119" s="148" t="str" cm="1">
        <f t="array" ref="AH119">Common_InputFunctions.Utility_DisplayArrayInTable(Fertiliser_SourceData.Fertiliser_Products_Data1(), FertiliserProducts[[#Headers],[Company]],1)</f>
        <v/>
      </c>
      <c r="AK119" s="1"/>
      <c r="AL119" s="1"/>
      <c r="AM119" s="1"/>
    </row>
    <row r="120" spans="1:39" ht="20.100000000000001" customHeight="1" x14ac:dyDescent="0.2">
      <c r="D120" s="148" t="str" cm="1">
        <f t="array" ref="D120">Common_InputFunctions.Utility_DisplayArrayInTable(Fertiliser_SourceData.Fertiliser_Products_Data2(), FertiliserProducts[[#Headers],[Company]],31)</f>
        <v>Campbells fertilisers Australia</v>
      </c>
      <c r="E120" s="148" t="str" cm="1">
        <f t="array" ref="E120">Common_InputFunctions.Utility_DisplayArrayInTable(Fertiliser_SourceData.Fertiliser_Products_Data2(), FertiliserProducts[[#Headers],[Company]],31)</f>
        <v>Encal</v>
      </c>
      <c r="F120" s="148" t="str" cm="1">
        <f t="array" ref="F120">Common_InputFunctions.Utility_DisplayArrayInTable(Fertiliser_SourceData.Fertiliser_Products_Data2(), FertiliserProducts[[#Headers],[Company]],31)</f>
        <v>L</v>
      </c>
      <c r="G120" s="148" cm="1">
        <f t="array" ref="G120">Common_InputFunctions.Utility_DisplayArrayInTable(Fertiliser_SourceData.Fertiliser_Products_Data2(), FertiliserProducts[[#Headers],[Company]],31)</f>
        <v>1.5</v>
      </c>
      <c r="H120" s="148" t="str" cm="1">
        <f t="array" ref="H120">Common_InputFunctions.Utility_DisplayArrayInTable(Fertiliser_SourceData.Fertiliser_Products_Data2(), FertiliserProducts[[#Headers],[Company]],31)</f>
        <v/>
      </c>
      <c r="I120" s="148" t="str" cm="1">
        <f t="array" ref="I120">Common_InputFunctions.Utility_DisplayArrayInTable(Fertiliser_SourceData.Fertiliser_Products_Data2(), FertiliserProducts[[#Headers],[Company]],31)</f>
        <v/>
      </c>
      <c r="J120" s="148" t="str" cm="1">
        <f t="array" ref="J120">Common_InputFunctions.Utility_DisplayArrayInTable(Fertiliser_SourceData.Fertiliser_Products_Data2(), FertiliserProducts[[#Headers],[Company]],31)</f>
        <v/>
      </c>
      <c r="K120" s="148" cm="1">
        <f t="array" ref="K120">Common_InputFunctions.Utility_DisplayArrayInTable(Fertiliser_SourceData.Fertiliser_Products_Data2(), FertiliserProducts[[#Headers],[Company]],31)</f>
        <v>9</v>
      </c>
      <c r="L120" s="148" t="str" cm="1">
        <f t="array" ref="L120">Common_InputFunctions.Utility_DisplayArrayInTable(Fertiliser_SourceData.Fertiliser_Products_Data2(), FertiliserProducts[[#Headers],[Company]],31)</f>
        <v/>
      </c>
      <c r="M120" s="148" t="str" cm="1">
        <f t="array" ref="M120">Common_InputFunctions.Utility_DisplayArrayInTable(Fertiliser_SourceData.Fertiliser_Products_Data2(), FertiliserProducts[[#Headers],[Company]],31)</f>
        <v/>
      </c>
      <c r="N120" s="148" cm="1">
        <f t="array" ref="N120">Common_InputFunctions.Utility_DisplayArrayInTable(Fertiliser_SourceData.Fertiliser_Products_Data2(), FertiliserProducts[[#Headers],[Company]],31)</f>
        <v>13.94</v>
      </c>
      <c r="O120" s="148" t="str" cm="1">
        <f t="array" ref="O120">Common_InputFunctions.Utility_DisplayArrayInTable(Fertiliser_SourceData.Fertiliser_Products_Data2(), FertiliserProducts[[#Headers],[Company]],31)</f>
        <v>Sulphate of ammonia (SOA)</v>
      </c>
      <c r="P120" s="148" cm="1">
        <f t="array" ref="P120">Common_InputFunctions.Utility_DisplayArrayInTable(Fertiliser_SourceData.Fertiliser_Products_Data2(), FertiliserProducts[[#Headers],[Company]],31)</f>
        <v>0.58064499999999997</v>
      </c>
      <c r="Q120" s="148" t="str" cm="1">
        <f t="array" ref="Q120">Common_InputFunctions.Utility_DisplayArrayInTable(Fertiliser_SourceData.Fertiliser_Products_Data2(), FertiliserProducts[[#Headers],[Company]],31)</f>
        <v>Magnesium</v>
      </c>
      <c r="R120" s="148" cm="1">
        <f t="array" ref="R120">Common_InputFunctions.Utility_DisplayArrayInTable(Fertiliser_SourceData.Fertiliser_Products_Data2(), FertiliserProducts[[#Headers],[Company]],31)</f>
        <v>1.2E-2</v>
      </c>
      <c r="S120" s="148" t="str" cm="1">
        <f t="array" ref="S120">Common_InputFunctions.Utility_DisplayArrayInTable(Fertiliser_SourceData.Fertiliser_Products_Data2(), FertiliserProducts[[#Headers],[Company]],31)</f>
        <v/>
      </c>
      <c r="T120" s="148" t="str" cm="1">
        <f t="array" ref="T120">Common_InputFunctions.Utility_DisplayArrayInTable(Fertiliser_SourceData.Fertiliser_Products_Data2(), FertiliserProducts[[#Headers],[Company]],31)</f>
        <v/>
      </c>
      <c r="U120" s="148" t="str" cm="1">
        <f t="array" ref="U120">Common_InputFunctions.Utility_DisplayArrayInTable(Fertiliser_SourceData.Fertiliser_Products_Data2(), FertiliserProducts[[#Headers],[Company]],31)</f>
        <v/>
      </c>
      <c r="V120" s="148" t="str" cm="1">
        <f t="array" ref="V120">Common_InputFunctions.Utility_DisplayArrayInTable(Fertiliser_SourceData.Fertiliser_Products_Data2(), FertiliserProducts[[#Headers],[Company]],31)</f>
        <v/>
      </c>
      <c r="W120" s="148" t="str" cm="1">
        <f t="array" ref="W120">Common_InputFunctions.Utility_DisplayArrayInTable(Fertiliser_SourceData.Fertiliser_Products_Data2(), FertiliserProducts[[#Headers],[Company]],31)</f>
        <v/>
      </c>
      <c r="X120" s="148" t="str" cm="1">
        <f t="array" ref="X120">Common_InputFunctions.Utility_DisplayArrayInTable(Fertiliser_SourceData.Fertiliser_Products_Data2(), FertiliserProducts[[#Headers],[Company]],31)</f>
        <v/>
      </c>
      <c r="Y120" s="148" t="str" cm="1">
        <f t="array" ref="Y120">Common_InputFunctions.Utility_DisplayArrayInTable(Fertiliser_SourceData.Fertiliser_Products_Data2(), FertiliserProducts[[#Headers],[Company]],31)</f>
        <v/>
      </c>
      <c r="Z120" s="148" t="str" cm="1">
        <f t="array" ref="Z120">Common_InputFunctions.Utility_DisplayArrayInTable(Fertiliser_SourceData.Fertiliser_Products_Data2(), FertiliserProducts[[#Headers],[Company]],31)</f>
        <v/>
      </c>
      <c r="AA120" s="148" t="str" cm="1">
        <f t="array" ref="AA120">Common_InputFunctions.Utility_DisplayArrayInTable(Fertiliser_SourceData.Fertiliser_Products_Data2(), FertiliserProducts[[#Headers],[Company]],31)</f>
        <v/>
      </c>
      <c r="AB120" s="148" t="str" cm="1">
        <f t="array" ref="AB120">Common_InputFunctions.Utility_DisplayArrayInTable(Fertiliser_SourceData.Fertiliser_Products_Data2(), FertiliserProducts[[#Headers],[Company]],31)</f>
        <v/>
      </c>
      <c r="AC120" s="148" t="str" cm="1">
        <f t="array" ref="AC120">Common_InputFunctions.Utility_DisplayArrayInTable(Fertiliser_SourceData.Fertiliser_Products_Data2(), FertiliserProducts[[#Headers],[Company]],31)</f>
        <v/>
      </c>
      <c r="AD120" s="148" t="str" cm="1">
        <f t="array" ref="AD120">Common_InputFunctions.Utility_DisplayArrayInTable(Fertiliser_SourceData.Fertiliser_Products_Data2(), FertiliserProducts[[#Headers],[Company]],31)</f>
        <v/>
      </c>
      <c r="AE120" s="148" t="str" cm="1">
        <f t="array" ref="AE120">Common_InputFunctions.Utility_DisplayArrayInTable(Fertiliser_SourceData.Fertiliser_Products_Data2(), FertiliserProducts[[#Headers],[Company]],31)</f>
        <v/>
      </c>
      <c r="AF120" s="148" t="str" cm="1">
        <f t="array" ref="AF120">Common_InputFunctions.Utility_DisplayArrayInTable(Fertiliser_SourceData.Fertiliser_Products_Data2(), FertiliserProducts[[#Headers],[Company]],31)</f>
        <v/>
      </c>
      <c r="AG120" s="148" t="str" cm="1">
        <f t="array" ref="AG120">Common_InputFunctions.Utility_DisplayArrayInTable(Fertiliser_SourceData.Fertiliser_Products_Data2(), FertiliserProducts[[#Headers],[Company]],31)</f>
        <v/>
      </c>
      <c r="AH120" s="148" t="str" cm="1">
        <f t="array" ref="AH120">Common_InputFunctions.Utility_DisplayArrayInTable(Fertiliser_SourceData.Fertiliser_Products_Data2(), FertiliserProducts[[#Headers],[Company]],31)</f>
        <v/>
      </c>
      <c r="AK120" s="1"/>
      <c r="AL120" s="1"/>
      <c r="AM120" s="1"/>
    </row>
    <row r="121" spans="1:39" ht="20.100000000000001" customHeight="1" x14ac:dyDescent="0.2">
      <c r="D121" s="148" t="str" cm="1">
        <f t="array" ref="D121">Common_InputFunctions.Utility_DisplayArrayInTable(Fertiliser_SourceData.Fertiliser_Products_Data2(), FertiliserProducts[[#Headers],[Company]],31)</f>
        <v>Incitec Pivot Fertilisers</v>
      </c>
      <c r="E121" s="148" t="str" cm="1">
        <f t="array" ref="E121">Common_InputFunctions.Utility_DisplayArrayInTable(Fertiliser_SourceData.Fertiliser_Products_Data2(), FertiliserProducts[[#Headers],[Company]],31)</f>
        <v>Granulock SS</v>
      </c>
      <c r="F121" s="148" t="str" cm="1">
        <f t="array" ref="F121">Common_InputFunctions.Utility_DisplayArrayInTable(Fertiliser_SourceData.Fertiliser_Products_Data2(), FertiliserProducts[[#Headers],[Company]],31)</f>
        <v>kg</v>
      </c>
      <c r="G121" s="148" cm="1">
        <f t="array" ref="G121">Common_InputFunctions.Utility_DisplayArrayInTable(Fertiliser_SourceData.Fertiliser_Products_Data2(), FertiliserProducts[[#Headers],[Company]],31)</f>
        <v>1</v>
      </c>
      <c r="H121" s="148" t="str" cm="1">
        <f t="array" ref="H121">Common_InputFunctions.Utility_DisplayArrayInTable(Fertiliser_SourceData.Fertiliser_Products_Data2(), FertiliserProducts[[#Headers],[Company]],31)</f>
        <v/>
      </c>
      <c r="I121" s="148" t="str" cm="1">
        <f t="array" ref="I121">Common_InputFunctions.Utility_DisplayArrayInTable(Fertiliser_SourceData.Fertiliser_Products_Data2(), FertiliserProducts[[#Headers],[Company]],31)</f>
        <v/>
      </c>
      <c r="J121" s="148" t="str" cm="1">
        <f t="array" ref="J121">Common_InputFunctions.Utility_DisplayArrayInTable(Fertiliser_SourceData.Fertiliser_Products_Data2(), FertiliserProducts[[#Headers],[Company]],31)</f>
        <v/>
      </c>
      <c r="K121" s="148" cm="1">
        <f t="array" ref="K121">Common_InputFunctions.Utility_DisplayArrayInTable(Fertiliser_SourceData.Fertiliser_Products_Data2(), FertiliserProducts[[#Headers],[Company]],31)</f>
        <v>10</v>
      </c>
      <c r="L121" s="148" cm="1">
        <f t="array" ref="L121">Common_InputFunctions.Utility_DisplayArrayInTable(Fertiliser_SourceData.Fertiliser_Products_Data2(), FertiliserProducts[[#Headers],[Company]],31)</f>
        <v>17.5</v>
      </c>
      <c r="M121" s="148" t="str" cm="1">
        <f t="array" ref="M121">Common_InputFunctions.Utility_DisplayArrayInTable(Fertiliser_SourceData.Fertiliser_Products_Data2(), FertiliserProducts[[#Headers],[Company]],31)</f>
        <v/>
      </c>
      <c r="N121" s="148" cm="1">
        <f t="array" ref="N121">Common_InputFunctions.Utility_DisplayArrayInTable(Fertiliser_SourceData.Fertiliser_Products_Data2(), FertiliserProducts[[#Headers],[Company]],31)</f>
        <v>12</v>
      </c>
      <c r="O121" s="148" t="str" cm="1">
        <f t="array" ref="O121">Common_InputFunctions.Utility_DisplayArrayInTable(Fertiliser_SourceData.Fertiliser_Products_Data2(), FertiliserProducts[[#Headers],[Company]],31)</f>
        <v>Phosphorus - Generic</v>
      </c>
      <c r="P121" s="148" cm="1">
        <f t="array" ref="P121">Common_InputFunctions.Utility_DisplayArrayInTable(Fertiliser_SourceData.Fertiliser_Products_Data2(), FertiliserProducts[[#Headers],[Company]],31)</f>
        <v>0.17499999999999999</v>
      </c>
      <c r="Q121" s="148" t="str" cm="1">
        <f t="array" ref="Q121">Common_InputFunctions.Utility_DisplayArrayInTable(Fertiliser_SourceData.Fertiliser_Products_Data2(), FertiliserProducts[[#Headers],[Company]],31)</f>
        <v>Sulfur - Generic</v>
      </c>
      <c r="R121" s="148" cm="1">
        <f t="array" ref="R121">Common_InputFunctions.Utility_DisplayArrayInTable(Fertiliser_SourceData.Fertiliser_Products_Data2(), FertiliserProducts[[#Headers],[Company]],31)</f>
        <v>0.12</v>
      </c>
      <c r="S121" s="148" t="str" cm="1">
        <f t="array" ref="S121">Common_InputFunctions.Utility_DisplayArrayInTable(Fertiliser_SourceData.Fertiliser_Products_Data2(), FertiliserProducts[[#Headers],[Company]],31)</f>
        <v>Nitrogen - Ammoniacal</v>
      </c>
      <c r="T121" s="148" cm="1">
        <f t="array" ref="T121">Common_InputFunctions.Utility_DisplayArrayInTable(Fertiliser_SourceData.Fertiliser_Products_Data2(), FertiliserProducts[[#Headers],[Company]],31)</f>
        <v>0.1</v>
      </c>
      <c r="U121" s="148" t="str" cm="1">
        <f t="array" ref="U121">Common_InputFunctions.Utility_DisplayArrayInTable(Fertiliser_SourceData.Fertiliser_Products_Data2(), FertiliserProducts[[#Headers],[Company]],31)</f>
        <v>Fluoride</v>
      </c>
      <c r="V121" s="148" cm="1">
        <f t="array" ref="V121">Common_InputFunctions.Utility_DisplayArrayInTable(Fertiliser_SourceData.Fertiliser_Products_Data2(), FertiliserProducts[[#Headers],[Company]],31)</f>
        <v>0.03</v>
      </c>
      <c r="W121" s="148" t="str" cm="1">
        <f t="array" ref="W121">Common_InputFunctions.Utility_DisplayArrayInTable(Fertiliser_SourceData.Fertiliser_Products_Data2(), FertiliserProducts[[#Headers],[Company]],31)</f>
        <v/>
      </c>
      <c r="X121" s="148" t="str" cm="1">
        <f t="array" ref="X121">Common_InputFunctions.Utility_DisplayArrayInTable(Fertiliser_SourceData.Fertiliser_Products_Data2(), FertiliserProducts[[#Headers],[Company]],31)</f>
        <v/>
      </c>
      <c r="Y121" s="148" t="str" cm="1">
        <f t="array" ref="Y121">Common_InputFunctions.Utility_DisplayArrayInTable(Fertiliser_SourceData.Fertiliser_Products_Data2(), FertiliserProducts[[#Headers],[Company]],31)</f>
        <v/>
      </c>
      <c r="Z121" s="148" t="str" cm="1">
        <f t="array" ref="Z121">Common_InputFunctions.Utility_DisplayArrayInTable(Fertiliser_SourceData.Fertiliser_Products_Data2(), FertiliserProducts[[#Headers],[Company]],31)</f>
        <v/>
      </c>
      <c r="AA121" s="148" t="str" cm="1">
        <f t="array" ref="AA121">Common_InputFunctions.Utility_DisplayArrayInTable(Fertiliser_SourceData.Fertiliser_Products_Data2(), FertiliserProducts[[#Headers],[Company]],31)</f>
        <v/>
      </c>
      <c r="AB121" s="148" t="str" cm="1">
        <f t="array" ref="AB121">Common_InputFunctions.Utility_DisplayArrayInTable(Fertiliser_SourceData.Fertiliser_Products_Data2(), FertiliserProducts[[#Headers],[Company]],31)</f>
        <v/>
      </c>
      <c r="AC121" s="148" t="str" cm="1">
        <f t="array" ref="AC121">Common_InputFunctions.Utility_DisplayArrayInTable(Fertiliser_SourceData.Fertiliser_Products_Data2(), FertiliserProducts[[#Headers],[Company]],31)</f>
        <v/>
      </c>
      <c r="AD121" s="148" t="str" cm="1">
        <f t="array" ref="AD121">Common_InputFunctions.Utility_DisplayArrayInTable(Fertiliser_SourceData.Fertiliser_Products_Data2(), FertiliserProducts[[#Headers],[Company]],31)</f>
        <v/>
      </c>
      <c r="AE121" s="148" t="str" cm="1">
        <f t="array" ref="AE121">Common_InputFunctions.Utility_DisplayArrayInTable(Fertiliser_SourceData.Fertiliser_Products_Data2(), FertiliserProducts[[#Headers],[Company]],31)</f>
        <v/>
      </c>
      <c r="AF121" s="148" t="str" cm="1">
        <f t="array" ref="AF121">Common_InputFunctions.Utility_DisplayArrayInTable(Fertiliser_SourceData.Fertiliser_Products_Data2(), FertiliserProducts[[#Headers],[Company]],31)</f>
        <v/>
      </c>
      <c r="AG121" s="148" t="str" cm="1">
        <f t="array" ref="AG121">Common_InputFunctions.Utility_DisplayArrayInTable(Fertiliser_SourceData.Fertiliser_Products_Data2(), FertiliserProducts[[#Headers],[Company]],31)</f>
        <v/>
      </c>
      <c r="AH121" s="148" t="str" cm="1">
        <f t="array" ref="AH121">Common_InputFunctions.Utility_DisplayArrayInTable(Fertiliser_SourceData.Fertiliser_Products_Data2(), FertiliserProducts[[#Headers],[Company]],31)</f>
        <v/>
      </c>
      <c r="AK121" s="1"/>
      <c r="AL121" s="1"/>
      <c r="AM121" s="1"/>
    </row>
    <row r="122" spans="1:39" ht="20.100000000000001" customHeight="1" x14ac:dyDescent="0.2">
      <c r="D122" s="148" t="str" cm="1">
        <f t="array" ref="D122">Common_InputFunctions.Utility_DisplayArrayInTable(Fertiliser_SourceData.Fertiliser_Products_Data2(), FertiliserProducts[[#Headers],[Company]],31)</f>
        <v>Incitec Pivot Fertilisers</v>
      </c>
      <c r="E122" s="148" t="str" cm="1">
        <f t="array" ref="E122">Common_InputFunctions.Utility_DisplayArrayInTable(Fertiliser_SourceData.Fertiliser_Products_Data2(), FertiliserProducts[[#Headers],[Company]],31)</f>
        <v>Granulock Z</v>
      </c>
      <c r="F122" s="148" t="str" cm="1">
        <f t="array" ref="F122">Common_InputFunctions.Utility_DisplayArrayInTable(Fertiliser_SourceData.Fertiliser_Products_Data2(), FertiliserProducts[[#Headers],[Company]],31)</f>
        <v>kg</v>
      </c>
      <c r="G122" s="148" cm="1">
        <f t="array" ref="G122">Common_InputFunctions.Utility_DisplayArrayInTable(Fertiliser_SourceData.Fertiliser_Products_Data2(), FertiliserProducts[[#Headers],[Company]],31)</f>
        <v>1</v>
      </c>
      <c r="H122" s="148" t="str" cm="1">
        <f t="array" ref="H122">Common_InputFunctions.Utility_DisplayArrayInTable(Fertiliser_SourceData.Fertiliser_Products_Data2(), FertiliserProducts[[#Headers],[Company]],31)</f>
        <v/>
      </c>
      <c r="I122" s="148" t="str" cm="1">
        <f t="array" ref="I122">Common_InputFunctions.Utility_DisplayArrayInTable(Fertiliser_SourceData.Fertiliser_Products_Data2(), FertiliserProducts[[#Headers],[Company]],31)</f>
        <v/>
      </c>
      <c r="J122" s="148" t="str" cm="1">
        <f t="array" ref="J122">Common_InputFunctions.Utility_DisplayArrayInTable(Fertiliser_SourceData.Fertiliser_Products_Data2(), FertiliserProducts[[#Headers],[Company]],31)</f>
        <v/>
      </c>
      <c r="K122" s="148" cm="1">
        <f t="array" ref="K122">Common_InputFunctions.Utility_DisplayArrayInTable(Fertiliser_SourceData.Fertiliser_Products_Data2(), FertiliserProducts[[#Headers],[Company]],31)</f>
        <v>11</v>
      </c>
      <c r="L122" s="148" cm="1">
        <f t="array" ref="L122">Common_InputFunctions.Utility_DisplayArrayInTable(Fertiliser_SourceData.Fertiliser_Products_Data2(), FertiliserProducts[[#Headers],[Company]],31)</f>
        <v>21.8</v>
      </c>
      <c r="M122" s="148" t="str" cm="1">
        <f t="array" ref="M122">Common_InputFunctions.Utility_DisplayArrayInTable(Fertiliser_SourceData.Fertiliser_Products_Data2(), FertiliserProducts[[#Headers],[Company]],31)</f>
        <v/>
      </c>
      <c r="N122" s="148" cm="1">
        <f t="array" ref="N122">Common_InputFunctions.Utility_DisplayArrayInTable(Fertiliser_SourceData.Fertiliser_Products_Data2(), FertiliserProducts[[#Headers],[Company]],31)</f>
        <v>4</v>
      </c>
      <c r="O122" s="148" t="str" cm="1">
        <f t="array" ref="O122">Common_InputFunctions.Utility_DisplayArrayInTable(Fertiliser_SourceData.Fertiliser_Products_Data2(), FertiliserProducts[[#Headers],[Company]],31)</f>
        <v>Phosphorus - Generic</v>
      </c>
      <c r="P122" s="148" cm="1">
        <f t="array" ref="P122">Common_InputFunctions.Utility_DisplayArrayInTable(Fertiliser_SourceData.Fertiliser_Products_Data2(), FertiliserProducts[[#Headers],[Company]],31)</f>
        <v>0.218</v>
      </c>
      <c r="Q122" s="148" t="str" cm="1">
        <f t="array" ref="Q122">Common_InputFunctions.Utility_DisplayArrayInTable(Fertiliser_SourceData.Fertiliser_Products_Data2(), FertiliserProducts[[#Headers],[Company]],31)</f>
        <v>Nitrogen - Generic</v>
      </c>
      <c r="R122" s="148" cm="1">
        <f t="array" ref="R122">Common_InputFunctions.Utility_DisplayArrayInTable(Fertiliser_SourceData.Fertiliser_Products_Data2(), FertiliserProducts[[#Headers],[Company]],31)</f>
        <v>0.11</v>
      </c>
      <c r="S122" s="148" t="str" cm="1">
        <f t="array" ref="S122">Common_InputFunctions.Utility_DisplayArrayInTable(Fertiliser_SourceData.Fertiliser_Products_Data2(), FertiliserProducts[[#Headers],[Company]],31)</f>
        <v>Sulfur - Generic</v>
      </c>
      <c r="T122" s="148" cm="1">
        <f t="array" ref="T122">Common_InputFunctions.Utility_DisplayArrayInTable(Fertiliser_SourceData.Fertiliser_Products_Data2(), FertiliserProducts[[#Headers],[Company]],31)</f>
        <v>0.04</v>
      </c>
      <c r="U122" s="148" t="str" cm="1">
        <f t="array" ref="U122">Common_InputFunctions.Utility_DisplayArrayInTable(Fertiliser_SourceData.Fertiliser_Products_Data2(), FertiliserProducts[[#Headers],[Company]],31)</f>
        <v>Fluoride</v>
      </c>
      <c r="V122" s="148" cm="1">
        <f t="array" ref="V122">Common_InputFunctions.Utility_DisplayArrayInTable(Fertiliser_SourceData.Fertiliser_Products_Data2(), FertiliserProducts[[#Headers],[Company]],31)</f>
        <v>0.03</v>
      </c>
      <c r="W122" s="148" t="str" cm="1">
        <f t="array" ref="W122">Common_InputFunctions.Utility_DisplayArrayInTable(Fertiliser_SourceData.Fertiliser_Products_Data2(), FertiliserProducts[[#Headers],[Company]],31)</f>
        <v>Zinc</v>
      </c>
      <c r="X122" s="148" cm="1">
        <f t="array" ref="X122">Common_InputFunctions.Utility_DisplayArrayInTable(Fertiliser_SourceData.Fertiliser_Products_Data2(), FertiliserProducts[[#Headers],[Company]],31)</f>
        <v>0.01</v>
      </c>
      <c r="Y122" s="148" t="str" cm="1">
        <f t="array" ref="Y122">Common_InputFunctions.Utility_DisplayArrayInTable(Fertiliser_SourceData.Fertiliser_Products_Data2(), FertiliserProducts[[#Headers],[Company]],31)</f>
        <v/>
      </c>
      <c r="Z122" s="148" t="str" cm="1">
        <f t="array" ref="Z122">Common_InputFunctions.Utility_DisplayArrayInTable(Fertiliser_SourceData.Fertiliser_Products_Data2(), FertiliserProducts[[#Headers],[Company]],31)</f>
        <v/>
      </c>
      <c r="AA122" s="148" t="str" cm="1">
        <f t="array" ref="AA122">Common_InputFunctions.Utility_DisplayArrayInTable(Fertiliser_SourceData.Fertiliser_Products_Data2(), FertiliserProducts[[#Headers],[Company]],31)</f>
        <v/>
      </c>
      <c r="AB122" s="148" t="str" cm="1">
        <f t="array" ref="AB122">Common_InputFunctions.Utility_DisplayArrayInTable(Fertiliser_SourceData.Fertiliser_Products_Data2(), FertiliserProducts[[#Headers],[Company]],31)</f>
        <v/>
      </c>
      <c r="AC122" s="148" t="str" cm="1">
        <f t="array" ref="AC122">Common_InputFunctions.Utility_DisplayArrayInTable(Fertiliser_SourceData.Fertiliser_Products_Data2(), FertiliserProducts[[#Headers],[Company]],31)</f>
        <v/>
      </c>
      <c r="AD122" s="148" t="str" cm="1">
        <f t="array" ref="AD122">Common_InputFunctions.Utility_DisplayArrayInTable(Fertiliser_SourceData.Fertiliser_Products_Data2(), FertiliserProducts[[#Headers],[Company]],31)</f>
        <v/>
      </c>
      <c r="AE122" s="148" t="str" cm="1">
        <f t="array" ref="AE122">Common_InputFunctions.Utility_DisplayArrayInTable(Fertiliser_SourceData.Fertiliser_Products_Data2(), FertiliserProducts[[#Headers],[Company]],31)</f>
        <v/>
      </c>
      <c r="AF122" s="148" t="str" cm="1">
        <f t="array" ref="AF122">Common_InputFunctions.Utility_DisplayArrayInTable(Fertiliser_SourceData.Fertiliser_Products_Data2(), FertiliserProducts[[#Headers],[Company]],31)</f>
        <v/>
      </c>
      <c r="AG122" s="148" t="str" cm="1">
        <f t="array" ref="AG122">Common_InputFunctions.Utility_DisplayArrayInTable(Fertiliser_SourceData.Fertiliser_Products_Data2(), FertiliserProducts[[#Headers],[Company]],31)</f>
        <v/>
      </c>
      <c r="AH122" s="148" t="str" cm="1">
        <f t="array" ref="AH122">Common_InputFunctions.Utility_DisplayArrayInTable(Fertiliser_SourceData.Fertiliser_Products_Data2(), FertiliserProducts[[#Headers],[Company]],31)</f>
        <v/>
      </c>
      <c r="AK122" s="1"/>
      <c r="AL122" s="1"/>
      <c r="AM122" s="1"/>
    </row>
    <row r="123" spans="1:39" ht="20.100000000000001" customHeight="1" x14ac:dyDescent="0.2">
      <c r="D123" s="148" t="str" cm="1">
        <f t="array" ref="D123">Common_InputFunctions.Utility_DisplayArrayInTable(Fertiliser_SourceData.Fertiliser_Products_Data2(), FertiliserProducts[[#Headers],[Company]],31)</f>
        <v>Incitec Pivot Fertilisers</v>
      </c>
      <c r="E123" s="148" t="str" cm="1">
        <f t="array" ref="E123">Common_InputFunctions.Utility_DisplayArrayInTable(Fertiliser_SourceData.Fertiliser_Products_Data2(), FertiliserProducts[[#Headers],[Company]],31)</f>
        <v>Farm Ag Leichhardt</v>
      </c>
      <c r="F123" s="148" t="str" cm="1">
        <f t="array" ref="F123">Common_InputFunctions.Utility_DisplayArrayInTable(Fertiliser_SourceData.Fertiliser_Products_Data2(), FertiliserProducts[[#Headers],[Company]],31)</f>
        <v>kg</v>
      </c>
      <c r="G123" s="148" cm="1">
        <f t="array" ref="G123">Common_InputFunctions.Utility_DisplayArrayInTable(Fertiliser_SourceData.Fertiliser_Products_Data2(), FertiliserProducts[[#Headers],[Company]],31)</f>
        <v>1</v>
      </c>
      <c r="H123" s="148" t="str" cm="1">
        <f t="array" ref="H123">Common_InputFunctions.Utility_DisplayArrayInTable(Fertiliser_SourceData.Fertiliser_Products_Data2(), FertiliserProducts[[#Headers],[Company]],31)</f>
        <v/>
      </c>
      <c r="I123" s="148" t="str" cm="1">
        <f t="array" ref="I123">Common_InputFunctions.Utility_DisplayArrayInTable(Fertiliser_SourceData.Fertiliser_Products_Data2(), FertiliserProducts[[#Headers],[Company]],31)</f>
        <v/>
      </c>
      <c r="J123" s="148" t="str" cm="1">
        <f t="array" ref="J123">Common_InputFunctions.Utility_DisplayArrayInTable(Fertiliser_SourceData.Fertiliser_Products_Data2(), FertiliserProducts[[#Headers],[Company]],31)</f>
        <v/>
      </c>
      <c r="K123" s="148" cm="1">
        <f t="array" ref="K123">Common_InputFunctions.Utility_DisplayArrayInTable(Fertiliser_SourceData.Fertiliser_Products_Data2(), FertiliserProducts[[#Headers],[Company]],31)</f>
        <v>32.5</v>
      </c>
      <c r="L123" s="148" cm="1">
        <f t="array" ref="L123">Common_InputFunctions.Utility_DisplayArrayInTable(Fertiliser_SourceData.Fertiliser_Products_Data2(), FertiliserProducts[[#Headers],[Company]],31)</f>
        <v>5.4</v>
      </c>
      <c r="M123" s="148" cm="1">
        <f t="array" ref="M123">Common_InputFunctions.Utility_DisplayArrayInTable(Fertiliser_SourceData.Fertiliser_Products_Data2(), FertiliserProducts[[#Headers],[Company]],31)</f>
        <v>6.25</v>
      </c>
      <c r="N123" s="148" t="str" cm="1">
        <f t="array" ref="N123">Common_InputFunctions.Utility_DisplayArrayInTable(Fertiliser_SourceData.Fertiliser_Products_Data2(), FertiliserProducts[[#Headers],[Company]],31)</f>
        <v/>
      </c>
      <c r="O123" s="148" t="str" cm="1">
        <f t="array" ref="O123">Common_InputFunctions.Utility_DisplayArrayInTable(Fertiliser_SourceData.Fertiliser_Products_Data2(), FertiliserProducts[[#Headers],[Company]],31)</f>
        <v>Urea</v>
      </c>
      <c r="P123" s="148" cm="1">
        <f t="array" ref="P123">Common_InputFunctions.Utility_DisplayArrayInTable(Fertiliser_SourceData.Fertiliser_Products_Data2(), FertiliserProducts[[#Headers],[Company]],31)</f>
        <v>0.6</v>
      </c>
      <c r="Q123" s="148" t="str" cm="1">
        <f t="array" ref="Q123">Common_InputFunctions.Utility_DisplayArrayInTable(Fertiliser_SourceData.Fertiliser_Products_Data2(), FertiliserProducts[[#Headers],[Company]],31)</f>
        <v>Nitrogen - Ammoniacal</v>
      </c>
      <c r="R123" s="148" cm="1">
        <f t="array" ref="R123">Common_InputFunctions.Utility_DisplayArrayInTable(Fertiliser_SourceData.Fertiliser_Products_Data2(), FertiliserProducts[[#Headers],[Company]],31)</f>
        <v>4.9000000000000002E-2</v>
      </c>
      <c r="S123" s="148" t="str" cm="1">
        <f t="array" ref="S123">Common_InputFunctions.Utility_DisplayArrayInTable(Fertiliser_SourceData.Fertiliser_Products_Data2(), FertiliserProducts[[#Headers],[Company]],31)</f>
        <v>Phosphorus - Generic</v>
      </c>
      <c r="T123" s="148" cm="1">
        <f t="array" ref="T123">Common_InputFunctions.Utility_DisplayArrayInTable(Fertiliser_SourceData.Fertiliser_Products_Data2(), FertiliserProducts[[#Headers],[Company]],31)</f>
        <v>5.3999999999999999E-2</v>
      </c>
      <c r="U123" s="148" t="str" cm="1">
        <f t="array" ref="U123">Common_InputFunctions.Utility_DisplayArrayInTable(Fertiliser_SourceData.Fertiliser_Products_Data2(), FertiliserProducts[[#Headers],[Company]],31)</f>
        <v>Muriate of potash (MOP)</v>
      </c>
      <c r="V123" s="148" cm="1">
        <f t="array" ref="V123">Common_InputFunctions.Utility_DisplayArrayInTable(Fertiliser_SourceData.Fertiliser_Products_Data2(), FertiliserProducts[[#Headers],[Company]],31)</f>
        <v>0.125</v>
      </c>
      <c r="W123" s="148" t="str" cm="1">
        <f t="array" ref="W123">Common_InputFunctions.Utility_DisplayArrayInTable(Fertiliser_SourceData.Fertiliser_Products_Data2(), FertiliserProducts[[#Headers],[Company]],31)</f>
        <v/>
      </c>
      <c r="X123" s="148" t="str" cm="1">
        <f t="array" ref="X123">Common_InputFunctions.Utility_DisplayArrayInTable(Fertiliser_SourceData.Fertiliser_Products_Data2(), FertiliserProducts[[#Headers],[Company]],31)</f>
        <v/>
      </c>
      <c r="Y123" s="148" t="str" cm="1">
        <f t="array" ref="Y123">Common_InputFunctions.Utility_DisplayArrayInTable(Fertiliser_SourceData.Fertiliser_Products_Data2(), FertiliserProducts[[#Headers],[Company]],31)</f>
        <v/>
      </c>
      <c r="Z123" s="148" t="str" cm="1">
        <f t="array" ref="Z123">Common_InputFunctions.Utility_DisplayArrayInTable(Fertiliser_SourceData.Fertiliser_Products_Data2(), FertiliserProducts[[#Headers],[Company]],31)</f>
        <v/>
      </c>
      <c r="AA123" s="148" t="str" cm="1">
        <f t="array" ref="AA123">Common_InputFunctions.Utility_DisplayArrayInTable(Fertiliser_SourceData.Fertiliser_Products_Data2(), FertiliserProducts[[#Headers],[Company]],31)</f>
        <v/>
      </c>
      <c r="AB123" s="148" t="str" cm="1">
        <f t="array" ref="AB123">Common_InputFunctions.Utility_DisplayArrayInTable(Fertiliser_SourceData.Fertiliser_Products_Data2(), FertiliserProducts[[#Headers],[Company]],31)</f>
        <v/>
      </c>
      <c r="AC123" s="148" t="str" cm="1">
        <f t="array" ref="AC123">Common_InputFunctions.Utility_DisplayArrayInTable(Fertiliser_SourceData.Fertiliser_Products_Data2(), FertiliserProducts[[#Headers],[Company]],31)</f>
        <v/>
      </c>
      <c r="AD123" s="148" t="str" cm="1">
        <f t="array" ref="AD123">Common_InputFunctions.Utility_DisplayArrayInTable(Fertiliser_SourceData.Fertiliser_Products_Data2(), FertiliserProducts[[#Headers],[Company]],31)</f>
        <v/>
      </c>
      <c r="AE123" s="148" t="str" cm="1">
        <f t="array" ref="AE123">Common_InputFunctions.Utility_DisplayArrayInTable(Fertiliser_SourceData.Fertiliser_Products_Data2(), FertiliserProducts[[#Headers],[Company]],31)</f>
        <v/>
      </c>
      <c r="AF123" s="148" t="str" cm="1">
        <f t="array" ref="AF123">Common_InputFunctions.Utility_DisplayArrayInTable(Fertiliser_SourceData.Fertiliser_Products_Data2(), FertiliserProducts[[#Headers],[Company]],31)</f>
        <v/>
      </c>
      <c r="AG123" s="148" t="str" cm="1">
        <f t="array" ref="AG123">Common_InputFunctions.Utility_DisplayArrayInTable(Fertiliser_SourceData.Fertiliser_Products_Data2(), FertiliserProducts[[#Headers],[Company]],31)</f>
        <v/>
      </c>
      <c r="AH123" s="148" t="str" cm="1">
        <f t="array" ref="AH123">Common_InputFunctions.Utility_DisplayArrayInTable(Fertiliser_SourceData.Fertiliser_Products_Data2(), FertiliserProducts[[#Headers],[Company]],31)</f>
        <v/>
      </c>
      <c r="AK123" s="1"/>
      <c r="AL123" s="1"/>
      <c r="AM123" s="1"/>
    </row>
    <row r="124" spans="1:39" ht="20.100000000000001" customHeight="1" x14ac:dyDescent="0.2">
      <c r="D124" s="148" t="str" cm="1">
        <f t="array" ref="D124">Common_InputFunctions.Utility_DisplayArrayInTable(Fertiliser_SourceData.Fertiliser_Products_Data2(), FertiliserProducts[[#Headers],[Company]],31)</f>
        <v>Ravensdown</v>
      </c>
      <c r="E124" s="148" t="str" cm="1">
        <f t="array" ref="E124">Common_InputFunctions.Utility_DisplayArrayInTable(Fertiliser_SourceData.Fertiliser_Products_Data2(), FertiliserProducts[[#Headers],[Company]],31)</f>
        <v>Flexi-N NBPT</v>
      </c>
      <c r="F124" s="148" t="str" cm="1">
        <f t="array" ref="F124">Common_InputFunctions.Utility_DisplayArrayInTable(Fertiliser_SourceData.Fertiliser_Products_Data2(), FertiliserProducts[[#Headers],[Company]],31)</f>
        <v>kg</v>
      </c>
      <c r="G124" s="148" cm="1">
        <f t="array" ref="G124">Common_InputFunctions.Utility_DisplayArrayInTable(Fertiliser_SourceData.Fertiliser_Products_Data2(), FertiliserProducts[[#Headers],[Company]],31)</f>
        <v>1</v>
      </c>
      <c r="H124" s="148" t="str" cm="1">
        <f t="array" ref="H124">Common_InputFunctions.Utility_DisplayArrayInTable(Fertiliser_SourceData.Fertiliser_Products_Data2(), FertiliserProducts[[#Headers],[Company]],31)</f>
        <v>Yes</v>
      </c>
      <c r="I124" s="148" t="str" cm="1">
        <f t="array" ref="I124">Common_InputFunctions.Utility_DisplayArrayInTable(Fertiliser_SourceData.Fertiliser_Products_Data2(), FertiliserProducts[[#Headers],[Company]],31)</f>
        <v/>
      </c>
      <c r="J124" s="148" t="str" cm="1">
        <f t="array" ref="J124">Common_InputFunctions.Utility_DisplayArrayInTable(Fertiliser_SourceData.Fertiliser_Products_Data2(), FertiliserProducts[[#Headers],[Company]],31)</f>
        <v/>
      </c>
      <c r="K124" s="148" cm="1">
        <f t="array" ref="K124">Common_InputFunctions.Utility_DisplayArrayInTable(Fertiliser_SourceData.Fertiliser_Products_Data2(), FertiliserProducts[[#Headers],[Company]],31)</f>
        <v>45.54</v>
      </c>
      <c r="L124" s="148" t="str" cm="1">
        <f t="array" ref="L124">Common_InputFunctions.Utility_DisplayArrayInTable(Fertiliser_SourceData.Fertiliser_Products_Data2(), FertiliserProducts[[#Headers],[Company]],31)</f>
        <v/>
      </c>
      <c r="M124" s="148" t="str" cm="1">
        <f t="array" ref="M124">Common_InputFunctions.Utility_DisplayArrayInTable(Fertiliser_SourceData.Fertiliser_Products_Data2(), FertiliserProducts[[#Headers],[Company]],31)</f>
        <v/>
      </c>
      <c r="N124" s="148" t="str" cm="1">
        <f t="array" ref="N124">Common_InputFunctions.Utility_DisplayArrayInTable(Fertiliser_SourceData.Fertiliser_Products_Data2(), FertiliserProducts[[#Headers],[Company]],31)</f>
        <v/>
      </c>
      <c r="O124" s="148" t="str" cm="1">
        <f t="array" ref="O124">Common_InputFunctions.Utility_DisplayArrayInTable(Fertiliser_SourceData.Fertiliser_Products_Data2(), FertiliserProducts[[#Headers],[Company]],31)</f>
        <v>Urea</v>
      </c>
      <c r="P124" s="148" cm="1">
        <f t="array" ref="P124">Common_InputFunctions.Utility_DisplayArrayInTable(Fertiliser_SourceData.Fertiliser_Products_Data2(), FertiliserProducts[[#Headers],[Company]],31)</f>
        <v>0.99</v>
      </c>
      <c r="Q124" s="148" t="str" cm="1">
        <f t="array" ref="Q124">Common_InputFunctions.Utility_DisplayArrayInTable(Fertiliser_SourceData.Fertiliser_Products_Data2(), FertiliserProducts[[#Headers],[Company]],31)</f>
        <v/>
      </c>
      <c r="R124" s="148" t="str" cm="1">
        <f t="array" ref="R124">Common_InputFunctions.Utility_DisplayArrayInTable(Fertiliser_SourceData.Fertiliser_Products_Data2(), FertiliserProducts[[#Headers],[Company]],31)</f>
        <v/>
      </c>
      <c r="S124" s="148" t="str" cm="1">
        <f t="array" ref="S124">Common_InputFunctions.Utility_DisplayArrayInTable(Fertiliser_SourceData.Fertiliser_Products_Data2(), FertiliserProducts[[#Headers],[Company]],31)</f>
        <v/>
      </c>
      <c r="T124" s="148" t="str" cm="1">
        <f t="array" ref="T124">Common_InputFunctions.Utility_DisplayArrayInTable(Fertiliser_SourceData.Fertiliser_Products_Data2(), FertiliserProducts[[#Headers],[Company]],31)</f>
        <v/>
      </c>
      <c r="U124" s="148" t="str" cm="1">
        <f t="array" ref="U124">Common_InputFunctions.Utility_DisplayArrayInTable(Fertiliser_SourceData.Fertiliser_Products_Data2(), FertiliserProducts[[#Headers],[Company]],31)</f>
        <v/>
      </c>
      <c r="V124" s="148" t="str" cm="1">
        <f t="array" ref="V124">Common_InputFunctions.Utility_DisplayArrayInTable(Fertiliser_SourceData.Fertiliser_Products_Data2(), FertiliserProducts[[#Headers],[Company]],31)</f>
        <v/>
      </c>
      <c r="W124" s="148" t="str" cm="1">
        <f t="array" ref="W124">Common_InputFunctions.Utility_DisplayArrayInTable(Fertiliser_SourceData.Fertiliser_Products_Data2(), FertiliserProducts[[#Headers],[Company]],31)</f>
        <v/>
      </c>
      <c r="X124" s="148" t="str" cm="1">
        <f t="array" ref="X124">Common_InputFunctions.Utility_DisplayArrayInTable(Fertiliser_SourceData.Fertiliser_Products_Data2(), FertiliserProducts[[#Headers],[Company]],31)</f>
        <v/>
      </c>
      <c r="Y124" s="148" t="str" cm="1">
        <f t="array" ref="Y124">Common_InputFunctions.Utility_DisplayArrayInTable(Fertiliser_SourceData.Fertiliser_Products_Data2(), FertiliserProducts[[#Headers],[Company]],31)</f>
        <v/>
      </c>
      <c r="Z124" s="148" t="str" cm="1">
        <f t="array" ref="Z124">Common_InputFunctions.Utility_DisplayArrayInTable(Fertiliser_SourceData.Fertiliser_Products_Data2(), FertiliserProducts[[#Headers],[Company]],31)</f>
        <v/>
      </c>
      <c r="AA124" s="148" t="str" cm="1">
        <f t="array" ref="AA124">Common_InputFunctions.Utility_DisplayArrayInTable(Fertiliser_SourceData.Fertiliser_Products_Data2(), FertiliserProducts[[#Headers],[Company]],31)</f>
        <v/>
      </c>
      <c r="AB124" s="148" t="str" cm="1">
        <f t="array" ref="AB124">Common_InputFunctions.Utility_DisplayArrayInTable(Fertiliser_SourceData.Fertiliser_Products_Data2(), FertiliserProducts[[#Headers],[Company]],31)</f>
        <v/>
      </c>
      <c r="AC124" s="148" t="str" cm="1">
        <f t="array" ref="AC124">Common_InputFunctions.Utility_DisplayArrayInTable(Fertiliser_SourceData.Fertiliser_Products_Data2(), FertiliserProducts[[#Headers],[Company]],31)</f>
        <v/>
      </c>
      <c r="AD124" s="148" t="str" cm="1">
        <f t="array" ref="AD124">Common_InputFunctions.Utility_DisplayArrayInTable(Fertiliser_SourceData.Fertiliser_Products_Data2(), FertiliserProducts[[#Headers],[Company]],31)</f>
        <v/>
      </c>
      <c r="AE124" s="148" t="str" cm="1">
        <f t="array" ref="AE124">Common_InputFunctions.Utility_DisplayArrayInTable(Fertiliser_SourceData.Fertiliser_Products_Data2(), FertiliserProducts[[#Headers],[Company]],31)</f>
        <v/>
      </c>
      <c r="AF124" s="148" t="str" cm="1">
        <f t="array" ref="AF124">Common_InputFunctions.Utility_DisplayArrayInTable(Fertiliser_SourceData.Fertiliser_Products_Data2(), FertiliserProducts[[#Headers],[Company]],31)</f>
        <v/>
      </c>
      <c r="AG124" s="148" t="str" cm="1">
        <f t="array" ref="AG124">Common_InputFunctions.Utility_DisplayArrayInTable(Fertiliser_SourceData.Fertiliser_Products_Data2(), FertiliserProducts[[#Headers],[Company]],31)</f>
        <v/>
      </c>
      <c r="AH124" s="148" t="str" cm="1">
        <f t="array" ref="AH124">Common_InputFunctions.Utility_DisplayArrayInTable(Fertiliser_SourceData.Fertiliser_Products_Data2(), FertiliserProducts[[#Headers],[Company]],31)</f>
        <v/>
      </c>
      <c r="AK124" s="1"/>
      <c r="AL124" s="1"/>
      <c r="AM124" s="1"/>
    </row>
    <row r="125" spans="1:39" ht="20.100000000000001" customHeight="1" x14ac:dyDescent="0.2">
      <c r="D125" s="148" t="str" cm="1">
        <f t="array" ref="D125">Common_InputFunctions.Utility_DisplayArrayInTable(Fertiliser_SourceData.Fertiliser_Products_Data2(), FertiliserProducts[[#Headers],[Company]],31)</f>
        <v>Campbells fertilisers Australia</v>
      </c>
      <c r="E125" s="148" t="str" cm="1">
        <f t="array" ref="E125">Common_InputFunctions.Utility_DisplayArrayInTable(Fertiliser_SourceData.Fertiliser_Products_Data2(), FertiliserProducts[[#Headers],[Company]],31)</f>
        <v>Gold Premium</v>
      </c>
      <c r="F125" s="148" t="str" cm="1">
        <f t="array" ref="F125">Common_InputFunctions.Utility_DisplayArrayInTable(Fertiliser_SourceData.Fertiliser_Products_Data2(), FertiliserProducts[[#Headers],[Company]],31)</f>
        <v>kg</v>
      </c>
      <c r="G125" s="148" cm="1">
        <f t="array" ref="G125">Common_InputFunctions.Utility_DisplayArrayInTable(Fertiliser_SourceData.Fertiliser_Products_Data2(), FertiliserProducts[[#Headers],[Company]],31)</f>
        <v>1</v>
      </c>
      <c r="H125" s="148" t="str" cm="1">
        <f t="array" ref="H125">Common_InputFunctions.Utility_DisplayArrayInTable(Fertiliser_SourceData.Fertiliser_Products_Data2(), FertiliserProducts[[#Headers],[Company]],31)</f>
        <v/>
      </c>
      <c r="I125" s="148" t="str" cm="1">
        <f t="array" ref="I125">Common_InputFunctions.Utility_DisplayArrayInTable(Fertiliser_SourceData.Fertiliser_Products_Data2(), FertiliserProducts[[#Headers],[Company]],31)</f>
        <v/>
      </c>
      <c r="J125" s="148" t="str" cm="1">
        <f t="array" ref="J125">Common_InputFunctions.Utility_DisplayArrayInTable(Fertiliser_SourceData.Fertiliser_Products_Data2(), FertiliserProducts[[#Headers],[Company]],31)</f>
        <v/>
      </c>
      <c r="K125" s="148" cm="1">
        <f t="array" ref="K125">Common_InputFunctions.Utility_DisplayArrayInTable(Fertiliser_SourceData.Fertiliser_Products_Data2(), FertiliserProducts[[#Headers],[Company]],31)</f>
        <v>14.87</v>
      </c>
      <c r="L125" s="148" cm="1">
        <f t="array" ref="L125">Common_InputFunctions.Utility_DisplayArrayInTable(Fertiliser_SourceData.Fertiliser_Products_Data2(), FertiliserProducts[[#Headers],[Company]],31)</f>
        <v>2.2000000000000002</v>
      </c>
      <c r="M125" s="148" cm="1">
        <f t="array" ref="M125">Common_InputFunctions.Utility_DisplayArrayInTable(Fertiliser_SourceData.Fertiliser_Products_Data2(), FertiliserProducts[[#Headers],[Company]],31)</f>
        <v>16.600000000000001</v>
      </c>
      <c r="N125" s="148" cm="1">
        <f t="array" ref="N125">Common_InputFunctions.Utility_DisplayArrayInTable(Fertiliser_SourceData.Fertiliser_Products_Data2(), FertiliserProducts[[#Headers],[Company]],31)</f>
        <v>8</v>
      </c>
      <c r="O125" s="148" t="str" cm="1">
        <f t="array" ref="O125">Common_InputFunctions.Utility_DisplayArrayInTable(Fertiliser_SourceData.Fertiliser_Products_Data2(), FertiliserProducts[[#Headers],[Company]],31)</f>
        <v>Ammonium nitrate (AN)</v>
      </c>
      <c r="P125" s="148" cm="1">
        <f t="array" ref="P125">Common_InputFunctions.Utility_DisplayArrayInTable(Fertiliser_SourceData.Fertiliser_Products_Data2(), FertiliserProducts[[#Headers],[Company]],31)</f>
        <v>0.44117600000000001</v>
      </c>
      <c r="Q125" s="148" t="str" cm="1">
        <f t="array" ref="Q125">Common_InputFunctions.Utility_DisplayArrayInTable(Fertiliser_SourceData.Fertiliser_Products_Data2(), FertiliserProducts[[#Headers],[Company]],31)</f>
        <v>Potassium - Generic</v>
      </c>
      <c r="R125" s="148" cm="1">
        <f t="array" ref="R125">Common_InputFunctions.Utility_DisplayArrayInTable(Fertiliser_SourceData.Fertiliser_Products_Data2(), FertiliserProducts[[#Headers],[Company]],31)</f>
        <v>0.16600000000000001</v>
      </c>
      <c r="S125" s="148" t="str" cm="1">
        <f t="array" ref="S125">Common_InputFunctions.Utility_DisplayArrayInTable(Fertiliser_SourceData.Fertiliser_Products_Data2(), FertiliserProducts[[#Headers],[Company]],31)</f>
        <v>Sulfur - Generic</v>
      </c>
      <c r="T125" s="148" cm="1">
        <f t="array" ref="T125">Common_InputFunctions.Utility_DisplayArrayInTable(Fertiliser_SourceData.Fertiliser_Products_Data2(), FertiliserProducts[[#Headers],[Company]],31)</f>
        <v>0.08</v>
      </c>
      <c r="U125" s="148" t="str" cm="1">
        <f t="array" ref="U125">Common_InputFunctions.Utility_DisplayArrayInTable(Fertiliser_SourceData.Fertiliser_Products_Data2(), FertiliserProducts[[#Headers],[Company]],31)</f>
        <v>Phosphorus - Generic</v>
      </c>
      <c r="V125" s="148" cm="1">
        <f t="array" ref="V125">Common_InputFunctions.Utility_DisplayArrayInTable(Fertiliser_SourceData.Fertiliser_Products_Data2(), FertiliserProducts[[#Headers],[Company]],31)</f>
        <v>2.1999999999999999E-2</v>
      </c>
      <c r="W125" s="148" t="str" cm="1">
        <f t="array" ref="W125">Common_InputFunctions.Utility_DisplayArrayInTable(Fertiliser_SourceData.Fertiliser_Products_Data2(), FertiliserProducts[[#Headers],[Company]],31)</f>
        <v>Magnesium</v>
      </c>
      <c r="X125" s="148" cm="1">
        <f t="array" ref="X125">Common_InputFunctions.Utility_DisplayArrayInTable(Fertiliser_SourceData.Fertiliser_Products_Data2(), FertiliserProducts[[#Headers],[Company]],31)</f>
        <v>1.2E-2</v>
      </c>
      <c r="Y125" s="148" t="str" cm="1">
        <f t="array" ref="Y125">Common_InputFunctions.Utility_DisplayArrayInTable(Fertiliser_SourceData.Fertiliser_Products_Data2(), FertiliserProducts[[#Headers],[Company]],31)</f>
        <v>Boron</v>
      </c>
      <c r="Z125" s="148" cm="1">
        <f t="array" ref="Z125">Common_InputFunctions.Utility_DisplayArrayInTable(Fertiliser_SourceData.Fertiliser_Products_Data2(), FertiliserProducts[[#Headers],[Company]],31)</f>
        <v>2.0000000000000001E-4</v>
      </c>
      <c r="AA125" s="148" t="str" cm="1">
        <f t="array" ref="AA125">Common_InputFunctions.Utility_DisplayArrayInTable(Fertiliser_SourceData.Fertiliser_Products_Data2(), FertiliserProducts[[#Headers],[Company]],31)</f>
        <v>Zinc</v>
      </c>
      <c r="AB125" s="148" cm="1">
        <f t="array" ref="AB125">Common_InputFunctions.Utility_DisplayArrayInTable(Fertiliser_SourceData.Fertiliser_Products_Data2(), FertiliserProducts[[#Headers],[Company]],31)</f>
        <v>1E-4</v>
      </c>
      <c r="AC125" s="148" t="str" cm="1">
        <f t="array" ref="AC125">Common_InputFunctions.Utility_DisplayArrayInTable(Fertiliser_SourceData.Fertiliser_Products_Data2(), FertiliserProducts[[#Headers],[Company]],31)</f>
        <v/>
      </c>
      <c r="AD125" s="148" t="str" cm="1">
        <f t="array" ref="AD125">Common_InputFunctions.Utility_DisplayArrayInTable(Fertiliser_SourceData.Fertiliser_Products_Data2(), FertiliserProducts[[#Headers],[Company]],31)</f>
        <v/>
      </c>
      <c r="AE125" s="148" t="str" cm="1">
        <f t="array" ref="AE125">Common_InputFunctions.Utility_DisplayArrayInTable(Fertiliser_SourceData.Fertiliser_Products_Data2(), FertiliserProducts[[#Headers],[Company]],31)</f>
        <v/>
      </c>
      <c r="AF125" s="148" t="str" cm="1">
        <f t="array" ref="AF125">Common_InputFunctions.Utility_DisplayArrayInTable(Fertiliser_SourceData.Fertiliser_Products_Data2(), FertiliserProducts[[#Headers],[Company]],31)</f>
        <v/>
      </c>
      <c r="AG125" s="148" t="str" cm="1">
        <f t="array" ref="AG125">Common_InputFunctions.Utility_DisplayArrayInTable(Fertiliser_SourceData.Fertiliser_Products_Data2(), FertiliserProducts[[#Headers],[Company]],31)</f>
        <v/>
      </c>
      <c r="AH125" s="148" t="str" cm="1">
        <f t="array" ref="AH125">Common_InputFunctions.Utility_DisplayArrayInTable(Fertiliser_SourceData.Fertiliser_Products_Data2(), FertiliserProducts[[#Headers],[Company]],31)</f>
        <v/>
      </c>
      <c r="AK125" s="1"/>
      <c r="AL125" s="1"/>
      <c r="AM125" s="1"/>
    </row>
    <row r="126" spans="1:39" ht="20.100000000000001" customHeight="1" x14ac:dyDescent="0.2">
      <c r="D126" s="148" t="str" cm="1">
        <f t="array" ref="D126">Common_InputFunctions.Utility_DisplayArrayInTable(Fertiliser_SourceData.Fertiliser_Products_Data2(), FertiliserProducts[[#Headers],[Company]],31)</f>
        <v>SL Tec</v>
      </c>
      <c r="E126" s="148" t="str" cm="1">
        <f t="array" ref="E126">Common_InputFunctions.Utility_DisplayArrayInTable(Fertiliser_SourceData.Fertiliser_Products_Data2(), FertiliserProducts[[#Headers],[Company]],31)</f>
        <v>High NS</v>
      </c>
      <c r="F126" s="148" t="str" cm="1">
        <f t="array" ref="F126">Common_InputFunctions.Utility_DisplayArrayInTable(Fertiliser_SourceData.Fertiliser_Products_Data2(), FertiliserProducts[[#Headers],[Company]],31)</f>
        <v>L</v>
      </c>
      <c r="G126" s="148" cm="1">
        <f t="array" ref="G126">Common_InputFunctions.Utility_DisplayArrayInTable(Fertiliser_SourceData.Fertiliser_Products_Data2(), FertiliserProducts[[#Headers],[Company]],31)</f>
        <v>1.2989999999999999</v>
      </c>
      <c r="H126" s="148" t="str" cm="1">
        <f t="array" ref="H126">Common_InputFunctions.Utility_DisplayArrayInTable(Fertiliser_SourceData.Fertiliser_Products_Data2(), FertiliserProducts[[#Headers],[Company]],31)</f>
        <v/>
      </c>
      <c r="I126" s="148" t="str" cm="1">
        <f t="array" ref="I126">Common_InputFunctions.Utility_DisplayArrayInTable(Fertiliser_SourceData.Fertiliser_Products_Data2(), FertiliserProducts[[#Headers],[Company]],31)</f>
        <v/>
      </c>
      <c r="J126" s="148" t="str" cm="1">
        <f t="array" ref="J126">Common_InputFunctions.Utility_DisplayArrayInTable(Fertiliser_SourceData.Fertiliser_Products_Data2(), FertiliserProducts[[#Headers],[Company]],31)</f>
        <v/>
      </c>
      <c r="K126" s="148" cm="1">
        <f t="array" ref="K126">Common_InputFunctions.Utility_DisplayArrayInTable(Fertiliser_SourceData.Fertiliser_Products_Data2(), FertiliserProducts[[#Headers],[Company]],31)</f>
        <v>38</v>
      </c>
      <c r="L126" s="148" t="str" cm="1">
        <f t="array" ref="L126">Common_InputFunctions.Utility_DisplayArrayInTable(Fertiliser_SourceData.Fertiliser_Products_Data2(), FertiliserProducts[[#Headers],[Company]],31)</f>
        <v/>
      </c>
      <c r="M126" s="148" t="str" cm="1">
        <f t="array" ref="M126">Common_InputFunctions.Utility_DisplayArrayInTable(Fertiliser_SourceData.Fertiliser_Products_Data2(), FertiliserProducts[[#Headers],[Company]],31)</f>
        <v/>
      </c>
      <c r="N126" s="148" cm="1">
        <f t="array" ref="N126">Common_InputFunctions.Utility_DisplayArrayInTable(Fertiliser_SourceData.Fertiliser_Products_Data2(), FertiliserProducts[[#Headers],[Company]],31)</f>
        <v>2</v>
      </c>
      <c r="O126" s="148" t="str" cm="1">
        <f t="array" ref="O126">Common_InputFunctions.Utility_DisplayArrayInTable(Fertiliser_SourceData.Fertiliser_Products_Data2(), FertiliserProducts[[#Headers],[Company]],31)</f>
        <v>Urea</v>
      </c>
      <c r="P126" s="148" cm="1">
        <f t="array" ref="P126">Common_InputFunctions.Utility_DisplayArrayInTable(Fertiliser_SourceData.Fertiliser_Products_Data2(), FertiliserProducts[[#Headers],[Company]],31)</f>
        <v>0.46087</v>
      </c>
      <c r="Q126" s="148" t="str" cm="1">
        <f t="array" ref="Q126">Common_InputFunctions.Utility_DisplayArrayInTable(Fertiliser_SourceData.Fertiliser_Products_Data2(), FertiliserProducts[[#Headers],[Company]],31)</f>
        <v>Nitrogen - Ammoniacal</v>
      </c>
      <c r="R126" s="148" cm="1">
        <f t="array" ref="R126">Common_InputFunctions.Utility_DisplayArrayInTable(Fertiliser_SourceData.Fertiliser_Products_Data2(), FertiliserProducts[[#Headers],[Company]],31)</f>
        <v>9.1999999999999998E-2</v>
      </c>
      <c r="S126" s="148" t="str" cm="1">
        <f t="array" ref="S126">Common_InputFunctions.Utility_DisplayArrayInTable(Fertiliser_SourceData.Fertiliser_Products_Data2(), FertiliserProducts[[#Headers],[Company]],31)</f>
        <v>Nitrogen - Nitrate</v>
      </c>
      <c r="T126" s="148" cm="1">
        <f t="array" ref="T126">Common_InputFunctions.Utility_DisplayArrayInTable(Fertiliser_SourceData.Fertiliser_Products_Data2(), FertiliserProducts[[#Headers],[Company]],31)</f>
        <v>7.5999999999999998E-2</v>
      </c>
      <c r="U126" s="148" t="str" cm="1">
        <f t="array" ref="U126">Common_InputFunctions.Utility_DisplayArrayInTable(Fertiliser_SourceData.Fertiliser_Products_Data2(), FertiliserProducts[[#Headers],[Company]],31)</f>
        <v>Sulfur - Generic</v>
      </c>
      <c r="V126" s="148" cm="1">
        <f t="array" ref="V126">Common_InputFunctions.Utility_DisplayArrayInTable(Fertiliser_SourceData.Fertiliser_Products_Data2(), FertiliserProducts[[#Headers],[Company]],31)</f>
        <v>0.02</v>
      </c>
      <c r="W126" s="148" t="str" cm="1">
        <f t="array" ref="W126">Common_InputFunctions.Utility_DisplayArrayInTable(Fertiliser_SourceData.Fertiliser_Products_Data2(), FertiliserProducts[[#Headers],[Company]],31)</f>
        <v/>
      </c>
      <c r="X126" s="148" t="str" cm="1">
        <f t="array" ref="X126">Common_InputFunctions.Utility_DisplayArrayInTable(Fertiliser_SourceData.Fertiliser_Products_Data2(), FertiliserProducts[[#Headers],[Company]],31)</f>
        <v/>
      </c>
      <c r="Y126" s="148" t="str" cm="1">
        <f t="array" ref="Y126">Common_InputFunctions.Utility_DisplayArrayInTable(Fertiliser_SourceData.Fertiliser_Products_Data2(), FertiliserProducts[[#Headers],[Company]],31)</f>
        <v/>
      </c>
      <c r="Z126" s="148" t="str" cm="1">
        <f t="array" ref="Z126">Common_InputFunctions.Utility_DisplayArrayInTable(Fertiliser_SourceData.Fertiliser_Products_Data2(), FertiliserProducts[[#Headers],[Company]],31)</f>
        <v/>
      </c>
      <c r="AA126" s="148" t="str" cm="1">
        <f t="array" ref="AA126">Common_InputFunctions.Utility_DisplayArrayInTable(Fertiliser_SourceData.Fertiliser_Products_Data2(), FertiliserProducts[[#Headers],[Company]],31)</f>
        <v/>
      </c>
      <c r="AB126" s="148" t="str" cm="1">
        <f t="array" ref="AB126">Common_InputFunctions.Utility_DisplayArrayInTable(Fertiliser_SourceData.Fertiliser_Products_Data2(), FertiliserProducts[[#Headers],[Company]],31)</f>
        <v/>
      </c>
      <c r="AC126" s="148" t="str" cm="1">
        <f t="array" ref="AC126">Common_InputFunctions.Utility_DisplayArrayInTable(Fertiliser_SourceData.Fertiliser_Products_Data2(), FertiliserProducts[[#Headers],[Company]],31)</f>
        <v/>
      </c>
      <c r="AD126" s="148" t="str" cm="1">
        <f t="array" ref="AD126">Common_InputFunctions.Utility_DisplayArrayInTable(Fertiliser_SourceData.Fertiliser_Products_Data2(), FertiliserProducts[[#Headers],[Company]],31)</f>
        <v/>
      </c>
      <c r="AE126" s="148" t="str" cm="1">
        <f t="array" ref="AE126">Common_InputFunctions.Utility_DisplayArrayInTable(Fertiliser_SourceData.Fertiliser_Products_Data2(), FertiliserProducts[[#Headers],[Company]],31)</f>
        <v/>
      </c>
      <c r="AF126" s="148" t="str" cm="1">
        <f t="array" ref="AF126">Common_InputFunctions.Utility_DisplayArrayInTable(Fertiliser_SourceData.Fertiliser_Products_Data2(), FertiliserProducts[[#Headers],[Company]],31)</f>
        <v/>
      </c>
      <c r="AG126" s="148" t="str" cm="1">
        <f t="array" ref="AG126">Common_InputFunctions.Utility_DisplayArrayInTable(Fertiliser_SourceData.Fertiliser_Products_Data2(), FertiliserProducts[[#Headers],[Company]],31)</f>
        <v/>
      </c>
      <c r="AH126" s="148" t="str" cm="1">
        <f t="array" ref="AH126">Common_InputFunctions.Utility_DisplayArrayInTable(Fertiliser_SourceData.Fertiliser_Products_Data2(), FertiliserProducts[[#Headers],[Company]],31)</f>
        <v/>
      </c>
      <c r="AK126" s="1"/>
      <c r="AL126" s="1"/>
      <c r="AM126" s="1"/>
    </row>
    <row r="127" spans="1:39" ht="20.100000000000001" customHeight="1" x14ac:dyDescent="0.2">
      <c r="D127" s="148" t="str" cm="1">
        <f t="array" ref="D127">Common_InputFunctions.Utility_DisplayArrayInTable(Fertiliser_SourceData.Fertiliser_Products_Data2(), FertiliserProducts[[#Headers],[Company]],31)</f>
        <v>Impact Fertilisers</v>
      </c>
      <c r="E127" s="148" t="str" cm="1">
        <f t="array" ref="E127">Common_InputFunctions.Utility_DisplayArrayInTable(Fertiliser_SourceData.Fertiliser_Products_Data2(), FertiliserProducts[[#Headers],[Company]],31)</f>
        <v>Impact SSP</v>
      </c>
      <c r="F127" s="148" t="str" cm="1">
        <f t="array" ref="F127">Common_InputFunctions.Utility_DisplayArrayInTable(Fertiliser_SourceData.Fertiliser_Products_Data2(), FertiliserProducts[[#Headers],[Company]],31)</f>
        <v>kg</v>
      </c>
      <c r="G127" s="148" cm="1">
        <f t="array" ref="G127">Common_InputFunctions.Utility_DisplayArrayInTable(Fertiliser_SourceData.Fertiliser_Products_Data2(), FertiliserProducts[[#Headers],[Company]],31)</f>
        <v>1</v>
      </c>
      <c r="H127" s="148" t="str" cm="1">
        <f t="array" ref="H127">Common_InputFunctions.Utility_DisplayArrayInTable(Fertiliser_SourceData.Fertiliser_Products_Data2(), FertiliserProducts[[#Headers],[Company]],31)</f>
        <v/>
      </c>
      <c r="I127" s="148" t="str" cm="1">
        <f t="array" ref="I127">Common_InputFunctions.Utility_DisplayArrayInTable(Fertiliser_SourceData.Fertiliser_Products_Data2(), FertiliserProducts[[#Headers],[Company]],31)</f>
        <v/>
      </c>
      <c r="J127" s="148" t="str" cm="1">
        <f t="array" ref="J127">Common_InputFunctions.Utility_DisplayArrayInTable(Fertiliser_SourceData.Fertiliser_Products_Data2(), FertiliserProducts[[#Headers],[Company]],31)</f>
        <v/>
      </c>
      <c r="K127" s="148" t="str" cm="1">
        <f t="array" ref="K127">Common_InputFunctions.Utility_DisplayArrayInTable(Fertiliser_SourceData.Fertiliser_Products_Data2(), FertiliserProducts[[#Headers],[Company]],31)</f>
        <v/>
      </c>
      <c r="L127" s="148" cm="1">
        <f t="array" ref="L127">Common_InputFunctions.Utility_DisplayArrayInTable(Fertiliser_SourceData.Fertiliser_Products_Data2(), FertiliserProducts[[#Headers],[Company]],31)</f>
        <v>8.8000000000000007</v>
      </c>
      <c r="M127" s="148" t="str" cm="1">
        <f t="array" ref="M127">Common_InputFunctions.Utility_DisplayArrayInTable(Fertiliser_SourceData.Fertiliser_Products_Data2(), FertiliserProducts[[#Headers],[Company]],31)</f>
        <v/>
      </c>
      <c r="N127" s="148" cm="1">
        <f t="array" ref="N127">Common_InputFunctions.Utility_DisplayArrayInTable(Fertiliser_SourceData.Fertiliser_Products_Data2(), FertiliserProducts[[#Headers],[Company]],31)</f>
        <v>11</v>
      </c>
      <c r="O127" s="148" t="str" cm="1">
        <f t="array" ref="O127">Common_InputFunctions.Utility_DisplayArrayInTable(Fertiliser_SourceData.Fertiliser_Products_Data2(), FertiliserProducts[[#Headers],[Company]],31)</f>
        <v>Single superphosphate (SSP)</v>
      </c>
      <c r="P127" s="148" cm="1">
        <f t="array" ref="P127">Common_InputFunctions.Utility_DisplayArrayInTable(Fertiliser_SourceData.Fertiliser_Products_Data2(), FertiliserProducts[[#Headers],[Company]],31)</f>
        <v>1</v>
      </c>
      <c r="Q127" s="148" t="str" cm="1">
        <f t="array" ref="Q127">Common_InputFunctions.Utility_DisplayArrayInTable(Fertiliser_SourceData.Fertiliser_Products_Data2(), FertiliserProducts[[#Headers],[Company]],31)</f>
        <v/>
      </c>
      <c r="R127" s="148" t="str" cm="1">
        <f t="array" ref="R127">Common_InputFunctions.Utility_DisplayArrayInTable(Fertiliser_SourceData.Fertiliser_Products_Data2(), FertiliserProducts[[#Headers],[Company]],31)</f>
        <v/>
      </c>
      <c r="S127" s="148" t="str" cm="1">
        <f t="array" ref="S127">Common_InputFunctions.Utility_DisplayArrayInTable(Fertiliser_SourceData.Fertiliser_Products_Data2(), FertiliserProducts[[#Headers],[Company]],31)</f>
        <v/>
      </c>
      <c r="T127" s="148" t="str" cm="1">
        <f t="array" ref="T127">Common_InputFunctions.Utility_DisplayArrayInTable(Fertiliser_SourceData.Fertiliser_Products_Data2(), FertiliserProducts[[#Headers],[Company]],31)</f>
        <v/>
      </c>
      <c r="U127" s="148" t="str" cm="1">
        <f t="array" ref="U127">Common_InputFunctions.Utility_DisplayArrayInTable(Fertiliser_SourceData.Fertiliser_Products_Data2(), FertiliserProducts[[#Headers],[Company]],31)</f>
        <v/>
      </c>
      <c r="V127" s="148" t="str" cm="1">
        <f t="array" ref="V127">Common_InputFunctions.Utility_DisplayArrayInTable(Fertiliser_SourceData.Fertiliser_Products_Data2(), FertiliserProducts[[#Headers],[Company]],31)</f>
        <v/>
      </c>
      <c r="W127" s="148" t="str" cm="1">
        <f t="array" ref="W127">Common_InputFunctions.Utility_DisplayArrayInTable(Fertiliser_SourceData.Fertiliser_Products_Data2(), FertiliserProducts[[#Headers],[Company]],31)</f>
        <v/>
      </c>
      <c r="X127" s="148" t="str" cm="1">
        <f t="array" ref="X127">Common_InputFunctions.Utility_DisplayArrayInTable(Fertiliser_SourceData.Fertiliser_Products_Data2(), FertiliserProducts[[#Headers],[Company]],31)</f>
        <v/>
      </c>
      <c r="Y127" s="148" t="str" cm="1">
        <f t="array" ref="Y127">Common_InputFunctions.Utility_DisplayArrayInTable(Fertiliser_SourceData.Fertiliser_Products_Data2(), FertiliserProducts[[#Headers],[Company]],31)</f>
        <v/>
      </c>
      <c r="Z127" s="148" t="str" cm="1">
        <f t="array" ref="Z127">Common_InputFunctions.Utility_DisplayArrayInTable(Fertiliser_SourceData.Fertiliser_Products_Data2(), FertiliserProducts[[#Headers],[Company]],31)</f>
        <v/>
      </c>
      <c r="AA127" s="148" t="str" cm="1">
        <f t="array" ref="AA127">Common_InputFunctions.Utility_DisplayArrayInTable(Fertiliser_SourceData.Fertiliser_Products_Data2(), FertiliserProducts[[#Headers],[Company]],31)</f>
        <v/>
      </c>
      <c r="AB127" s="148" t="str" cm="1">
        <f t="array" ref="AB127">Common_InputFunctions.Utility_DisplayArrayInTable(Fertiliser_SourceData.Fertiliser_Products_Data2(), FertiliserProducts[[#Headers],[Company]],31)</f>
        <v/>
      </c>
      <c r="AC127" s="148" t="str" cm="1">
        <f t="array" ref="AC127">Common_InputFunctions.Utility_DisplayArrayInTable(Fertiliser_SourceData.Fertiliser_Products_Data2(), FertiliserProducts[[#Headers],[Company]],31)</f>
        <v/>
      </c>
      <c r="AD127" s="148" t="str" cm="1">
        <f t="array" ref="AD127">Common_InputFunctions.Utility_DisplayArrayInTable(Fertiliser_SourceData.Fertiliser_Products_Data2(), FertiliserProducts[[#Headers],[Company]],31)</f>
        <v/>
      </c>
      <c r="AE127" s="148" t="str" cm="1">
        <f t="array" ref="AE127">Common_InputFunctions.Utility_DisplayArrayInTable(Fertiliser_SourceData.Fertiliser_Products_Data2(), FertiliserProducts[[#Headers],[Company]],31)</f>
        <v/>
      </c>
      <c r="AF127" s="148" t="str" cm="1">
        <f t="array" ref="AF127">Common_InputFunctions.Utility_DisplayArrayInTable(Fertiliser_SourceData.Fertiliser_Products_Data2(), FertiliserProducts[[#Headers],[Company]],31)</f>
        <v/>
      </c>
      <c r="AG127" s="148" t="str" cm="1">
        <f t="array" ref="AG127">Common_InputFunctions.Utility_DisplayArrayInTable(Fertiliser_SourceData.Fertiliser_Products_Data2(), FertiliserProducts[[#Headers],[Company]],31)</f>
        <v/>
      </c>
      <c r="AH127" s="148" t="str" cm="1">
        <f t="array" ref="AH127">Common_InputFunctions.Utility_DisplayArrayInTable(Fertiliser_SourceData.Fertiliser_Products_Data2(), FertiliserProducts[[#Headers],[Company]],31)</f>
        <v/>
      </c>
      <c r="AK127" s="1"/>
      <c r="AL127" s="1"/>
      <c r="AM127" s="1"/>
    </row>
    <row r="128" spans="1:39" ht="20.100000000000001" customHeight="1" x14ac:dyDescent="0.2">
      <c r="A128" s="79" t="str">
        <f>HYPERLINK("#A1", "▲ Back to top")</f>
        <v>▲ Back to top</v>
      </c>
      <c r="D128" s="148" t="str" cm="1">
        <f t="array" ref="D128">Common_InputFunctions.Utility_DisplayArrayInTable(Fertiliser_SourceData.Fertiliser_Products_Data2(), FertiliserProducts[[#Headers],[Company]],31)</f>
        <v>Switch Ag</v>
      </c>
      <c r="E128" s="148" t="str" cm="1">
        <f t="array" ref="E128">Common_InputFunctions.Utility_DisplayArrayInTable(Fertiliser_SourceData.Fertiliser_Products_Data2(), FertiliserProducts[[#Headers],[Company]],31)</f>
        <v>In Crop</v>
      </c>
      <c r="F128" s="148" t="str" cm="1">
        <f t="array" ref="F128">Common_InputFunctions.Utility_DisplayArrayInTable(Fertiliser_SourceData.Fertiliser_Products_Data2(), FertiliserProducts[[#Headers],[Company]],31)</f>
        <v>L</v>
      </c>
      <c r="G128" s="148" cm="1">
        <f t="array" ref="G128">Common_InputFunctions.Utility_DisplayArrayInTable(Fertiliser_SourceData.Fertiliser_Products_Data2(), FertiliserProducts[[#Headers],[Company]],31)</f>
        <v>1.2</v>
      </c>
      <c r="H128" s="148" t="str" cm="1">
        <f t="array" ref="H128">Common_InputFunctions.Utility_DisplayArrayInTable(Fertiliser_SourceData.Fertiliser_Products_Data2(), FertiliserProducts[[#Headers],[Company]],31)</f>
        <v/>
      </c>
      <c r="I128" s="148" t="str" cm="1">
        <f t="array" ref="I128">Common_InputFunctions.Utility_DisplayArrayInTable(Fertiliser_SourceData.Fertiliser_Products_Data2(), FertiliserProducts[[#Headers],[Company]],31)</f>
        <v/>
      </c>
      <c r="J128" s="148" t="str" cm="1">
        <f t="array" ref="J128">Common_InputFunctions.Utility_DisplayArrayInTable(Fertiliser_SourceData.Fertiliser_Products_Data2(), FertiliserProducts[[#Headers],[Company]],31)</f>
        <v/>
      </c>
      <c r="K128" s="148" cm="1">
        <f t="array" ref="K128">Common_InputFunctions.Utility_DisplayArrayInTable(Fertiliser_SourceData.Fertiliser_Products_Data2(), FertiliserProducts[[#Headers],[Company]],31)</f>
        <v>10</v>
      </c>
      <c r="L128" s="148" cm="1">
        <f t="array" ref="L128">Common_InputFunctions.Utility_DisplayArrayInTable(Fertiliser_SourceData.Fertiliser_Products_Data2(), FertiliserProducts[[#Headers],[Company]],31)</f>
        <v>1</v>
      </c>
      <c r="M128" s="148" cm="1">
        <f t="array" ref="M128">Common_InputFunctions.Utility_DisplayArrayInTable(Fertiliser_SourceData.Fertiliser_Products_Data2(), FertiliserProducts[[#Headers],[Company]],31)</f>
        <v>11</v>
      </c>
      <c r="N128" s="148" t="str" cm="1">
        <f t="array" ref="N128">Common_InputFunctions.Utility_DisplayArrayInTable(Fertiliser_SourceData.Fertiliser_Products_Data2(), FertiliserProducts[[#Headers],[Company]],31)</f>
        <v/>
      </c>
      <c r="O128" s="148" t="str" cm="1">
        <f t="array" ref="O128">Common_InputFunctions.Utility_DisplayArrayInTable(Fertiliser_SourceData.Fertiliser_Products_Data2(), FertiliserProducts[[#Headers],[Company]],31)</f>
        <v>Potassium - Generic</v>
      </c>
      <c r="P128" s="148" cm="1">
        <f t="array" ref="P128">Common_InputFunctions.Utility_DisplayArrayInTable(Fertiliser_SourceData.Fertiliser_Products_Data2(), FertiliserProducts[[#Headers],[Company]],31)</f>
        <v>0.11</v>
      </c>
      <c r="Q128" s="148" t="str" cm="1">
        <f t="array" ref="Q128">Common_InputFunctions.Utility_DisplayArrayInTable(Fertiliser_SourceData.Fertiliser_Products_Data2(), FertiliserProducts[[#Headers],[Company]],31)</f>
        <v>Nitrogen - Generic</v>
      </c>
      <c r="R128" s="148" cm="1">
        <f t="array" ref="R128">Common_InputFunctions.Utility_DisplayArrayInTable(Fertiliser_SourceData.Fertiliser_Products_Data2(), FertiliserProducts[[#Headers],[Company]],31)</f>
        <v>0.1</v>
      </c>
      <c r="S128" s="148" t="str" cm="1">
        <f t="array" ref="S128">Common_InputFunctions.Utility_DisplayArrayInTable(Fertiliser_SourceData.Fertiliser_Products_Data2(), FertiliserProducts[[#Headers],[Company]],31)</f>
        <v>Phosphorus - Generic</v>
      </c>
      <c r="T128" s="148" cm="1">
        <f t="array" ref="T128">Common_InputFunctions.Utility_DisplayArrayInTable(Fertiliser_SourceData.Fertiliser_Products_Data2(), FertiliserProducts[[#Headers],[Company]],31)</f>
        <v>0.01</v>
      </c>
      <c r="U128" s="148" t="str" cm="1">
        <f t="array" ref="U128">Common_InputFunctions.Utility_DisplayArrayInTable(Fertiliser_SourceData.Fertiliser_Products_Data2(), FertiliserProducts[[#Headers],[Company]],31)</f>
        <v/>
      </c>
      <c r="V128" s="148" t="str" cm="1">
        <f t="array" ref="V128">Common_InputFunctions.Utility_DisplayArrayInTable(Fertiliser_SourceData.Fertiliser_Products_Data2(), FertiliserProducts[[#Headers],[Company]],31)</f>
        <v/>
      </c>
      <c r="W128" s="148" t="str" cm="1">
        <f t="array" ref="W128">Common_InputFunctions.Utility_DisplayArrayInTable(Fertiliser_SourceData.Fertiliser_Products_Data2(), FertiliserProducts[[#Headers],[Company]],31)</f>
        <v/>
      </c>
      <c r="X128" s="148" t="str" cm="1">
        <f t="array" ref="X128">Common_InputFunctions.Utility_DisplayArrayInTable(Fertiliser_SourceData.Fertiliser_Products_Data2(), FertiliserProducts[[#Headers],[Company]],31)</f>
        <v/>
      </c>
      <c r="Y128" s="148" t="str" cm="1">
        <f t="array" ref="Y128">Common_InputFunctions.Utility_DisplayArrayInTable(Fertiliser_SourceData.Fertiliser_Products_Data2(), FertiliserProducts[[#Headers],[Company]],31)</f>
        <v/>
      </c>
      <c r="Z128" s="148" t="str" cm="1">
        <f t="array" ref="Z128">Common_InputFunctions.Utility_DisplayArrayInTable(Fertiliser_SourceData.Fertiliser_Products_Data2(), FertiliserProducts[[#Headers],[Company]],31)</f>
        <v/>
      </c>
      <c r="AA128" s="148" t="str" cm="1">
        <f t="array" ref="AA128">Common_InputFunctions.Utility_DisplayArrayInTable(Fertiliser_SourceData.Fertiliser_Products_Data2(), FertiliserProducts[[#Headers],[Company]],31)</f>
        <v/>
      </c>
      <c r="AB128" s="148" t="str" cm="1">
        <f t="array" ref="AB128">Common_InputFunctions.Utility_DisplayArrayInTable(Fertiliser_SourceData.Fertiliser_Products_Data2(), FertiliserProducts[[#Headers],[Company]],31)</f>
        <v/>
      </c>
      <c r="AC128" s="148" t="str" cm="1">
        <f t="array" ref="AC128">Common_InputFunctions.Utility_DisplayArrayInTable(Fertiliser_SourceData.Fertiliser_Products_Data2(), FertiliserProducts[[#Headers],[Company]],31)</f>
        <v/>
      </c>
      <c r="AD128" s="148" t="str" cm="1">
        <f t="array" ref="AD128">Common_InputFunctions.Utility_DisplayArrayInTable(Fertiliser_SourceData.Fertiliser_Products_Data2(), FertiliserProducts[[#Headers],[Company]],31)</f>
        <v/>
      </c>
      <c r="AE128" s="148" t="str" cm="1">
        <f t="array" ref="AE128">Common_InputFunctions.Utility_DisplayArrayInTable(Fertiliser_SourceData.Fertiliser_Products_Data2(), FertiliserProducts[[#Headers],[Company]],31)</f>
        <v/>
      </c>
      <c r="AF128" s="148" t="str" cm="1">
        <f t="array" ref="AF128">Common_InputFunctions.Utility_DisplayArrayInTable(Fertiliser_SourceData.Fertiliser_Products_Data2(), FertiliserProducts[[#Headers],[Company]],31)</f>
        <v/>
      </c>
      <c r="AG128" s="148" t="str" cm="1">
        <f t="array" ref="AG128">Common_InputFunctions.Utility_DisplayArrayInTable(Fertiliser_SourceData.Fertiliser_Products_Data2(), FertiliserProducts[[#Headers],[Company]],31)</f>
        <v/>
      </c>
      <c r="AH128" s="148" t="str" cm="1">
        <f t="array" ref="AH128">Common_InputFunctions.Utility_DisplayArrayInTable(Fertiliser_SourceData.Fertiliser_Products_Data2(), FertiliserProducts[[#Headers],[Company]],31)</f>
        <v/>
      </c>
      <c r="AK128" s="1"/>
      <c r="AL128" s="1"/>
      <c r="AM128" s="1"/>
    </row>
    <row r="129" spans="4:39" ht="20.100000000000001" customHeight="1" x14ac:dyDescent="0.2">
      <c r="D129" s="148" t="str" cm="1">
        <f t="array" ref="D129">Common_InputFunctions.Utility_DisplayArrayInTable(Fertiliser_SourceData.Fertiliser_Products_Data2(), FertiliserProducts[[#Headers],[Company]],31)</f>
        <v>Switch Ag</v>
      </c>
      <c r="E129" s="148" t="str" cm="1">
        <f t="array" ref="E129">Common_InputFunctions.Utility_DisplayArrayInTable(Fertiliser_SourceData.Fertiliser_Products_Data2(), FertiliserProducts[[#Headers],[Company]],31)</f>
        <v>K20</v>
      </c>
      <c r="F129" s="148" t="str" cm="1">
        <f t="array" ref="F129">Common_InputFunctions.Utility_DisplayArrayInTable(Fertiliser_SourceData.Fertiliser_Products_Data2(), FertiliserProducts[[#Headers],[Company]],31)</f>
        <v>L</v>
      </c>
      <c r="G129" s="148" cm="1">
        <f t="array" ref="G129">Common_InputFunctions.Utility_DisplayArrayInTable(Fertiliser_SourceData.Fertiliser_Products_Data2(), FertiliserProducts[[#Headers],[Company]],31)</f>
        <v>1.3</v>
      </c>
      <c r="H129" s="148" t="str" cm="1">
        <f t="array" ref="H129">Common_InputFunctions.Utility_DisplayArrayInTable(Fertiliser_SourceData.Fertiliser_Products_Data2(), FertiliserProducts[[#Headers],[Company]],31)</f>
        <v/>
      </c>
      <c r="I129" s="148" t="str" cm="1">
        <f t="array" ref="I129">Common_InputFunctions.Utility_DisplayArrayInTable(Fertiliser_SourceData.Fertiliser_Products_Data2(), FertiliserProducts[[#Headers],[Company]],31)</f>
        <v/>
      </c>
      <c r="J129" s="148" t="str" cm="1">
        <f t="array" ref="J129">Common_InputFunctions.Utility_DisplayArrayInTable(Fertiliser_SourceData.Fertiliser_Products_Data2(), FertiliserProducts[[#Headers],[Company]],31)</f>
        <v/>
      </c>
      <c r="K129" s="148" cm="1">
        <f t="array" ref="K129">Common_InputFunctions.Utility_DisplayArrayInTable(Fertiliser_SourceData.Fertiliser_Products_Data2(), FertiliserProducts[[#Headers],[Company]],31)</f>
        <v>3</v>
      </c>
      <c r="L129" s="148" t="str" cm="1">
        <f t="array" ref="L129">Common_InputFunctions.Utility_DisplayArrayInTable(Fertiliser_SourceData.Fertiliser_Products_Data2(), FertiliserProducts[[#Headers],[Company]],31)</f>
        <v/>
      </c>
      <c r="M129" s="148" cm="1">
        <f t="array" ref="M129">Common_InputFunctions.Utility_DisplayArrayInTable(Fertiliser_SourceData.Fertiliser_Products_Data2(), FertiliserProducts[[#Headers],[Company]],31)</f>
        <v>22</v>
      </c>
      <c r="N129" s="148" t="str" cm="1">
        <f t="array" ref="N129">Common_InputFunctions.Utility_DisplayArrayInTable(Fertiliser_SourceData.Fertiliser_Products_Data2(), FertiliserProducts[[#Headers],[Company]],31)</f>
        <v/>
      </c>
      <c r="O129" s="148" t="str" cm="1">
        <f t="array" ref="O129">Common_InputFunctions.Utility_DisplayArrayInTable(Fertiliser_SourceData.Fertiliser_Products_Data2(), FertiliserProducts[[#Headers],[Company]],31)</f>
        <v>Potassium - Generic</v>
      </c>
      <c r="P129" s="148" cm="1">
        <f t="array" ref="P129">Common_InputFunctions.Utility_DisplayArrayInTable(Fertiliser_SourceData.Fertiliser_Products_Data2(), FertiliserProducts[[#Headers],[Company]],31)</f>
        <v>0.22</v>
      </c>
      <c r="Q129" s="148" t="str" cm="1">
        <f t="array" ref="Q129">Common_InputFunctions.Utility_DisplayArrayInTable(Fertiliser_SourceData.Fertiliser_Products_Data2(), FertiliserProducts[[#Headers],[Company]],31)</f>
        <v>Nitrogen - Generic</v>
      </c>
      <c r="R129" s="148" cm="1">
        <f t="array" ref="R129">Common_InputFunctions.Utility_DisplayArrayInTable(Fertiliser_SourceData.Fertiliser_Products_Data2(), FertiliserProducts[[#Headers],[Company]],31)</f>
        <v>0.03</v>
      </c>
      <c r="S129" s="148" t="str" cm="1">
        <f t="array" ref="S129">Common_InputFunctions.Utility_DisplayArrayInTable(Fertiliser_SourceData.Fertiliser_Products_Data2(), FertiliserProducts[[#Headers],[Company]],31)</f>
        <v/>
      </c>
      <c r="T129" s="148" t="str" cm="1">
        <f t="array" ref="T129">Common_InputFunctions.Utility_DisplayArrayInTable(Fertiliser_SourceData.Fertiliser_Products_Data2(), FertiliserProducts[[#Headers],[Company]],31)</f>
        <v/>
      </c>
      <c r="U129" s="148" t="str" cm="1">
        <f t="array" ref="U129">Common_InputFunctions.Utility_DisplayArrayInTable(Fertiliser_SourceData.Fertiliser_Products_Data2(), FertiliserProducts[[#Headers],[Company]],31)</f>
        <v/>
      </c>
      <c r="V129" s="148" t="str" cm="1">
        <f t="array" ref="V129">Common_InputFunctions.Utility_DisplayArrayInTable(Fertiliser_SourceData.Fertiliser_Products_Data2(), FertiliserProducts[[#Headers],[Company]],31)</f>
        <v/>
      </c>
      <c r="W129" s="148" t="str" cm="1">
        <f t="array" ref="W129">Common_InputFunctions.Utility_DisplayArrayInTable(Fertiliser_SourceData.Fertiliser_Products_Data2(), FertiliserProducts[[#Headers],[Company]],31)</f>
        <v/>
      </c>
      <c r="X129" s="148" t="str" cm="1">
        <f t="array" ref="X129">Common_InputFunctions.Utility_DisplayArrayInTable(Fertiliser_SourceData.Fertiliser_Products_Data2(), FertiliserProducts[[#Headers],[Company]],31)</f>
        <v/>
      </c>
      <c r="Y129" s="148" t="str" cm="1">
        <f t="array" ref="Y129">Common_InputFunctions.Utility_DisplayArrayInTable(Fertiliser_SourceData.Fertiliser_Products_Data2(), FertiliserProducts[[#Headers],[Company]],31)</f>
        <v/>
      </c>
      <c r="Z129" s="148" t="str" cm="1">
        <f t="array" ref="Z129">Common_InputFunctions.Utility_DisplayArrayInTable(Fertiliser_SourceData.Fertiliser_Products_Data2(), FertiliserProducts[[#Headers],[Company]],31)</f>
        <v/>
      </c>
      <c r="AA129" s="148" t="str" cm="1">
        <f t="array" ref="AA129">Common_InputFunctions.Utility_DisplayArrayInTable(Fertiliser_SourceData.Fertiliser_Products_Data2(), FertiliserProducts[[#Headers],[Company]],31)</f>
        <v/>
      </c>
      <c r="AB129" s="148" t="str" cm="1">
        <f t="array" ref="AB129">Common_InputFunctions.Utility_DisplayArrayInTable(Fertiliser_SourceData.Fertiliser_Products_Data2(), FertiliserProducts[[#Headers],[Company]],31)</f>
        <v/>
      </c>
      <c r="AC129" s="148" t="str" cm="1">
        <f t="array" ref="AC129">Common_InputFunctions.Utility_DisplayArrayInTable(Fertiliser_SourceData.Fertiliser_Products_Data2(), FertiliserProducts[[#Headers],[Company]],31)</f>
        <v/>
      </c>
      <c r="AD129" s="148" t="str" cm="1">
        <f t="array" ref="AD129">Common_InputFunctions.Utility_DisplayArrayInTable(Fertiliser_SourceData.Fertiliser_Products_Data2(), FertiliserProducts[[#Headers],[Company]],31)</f>
        <v/>
      </c>
      <c r="AE129" s="148" t="str" cm="1">
        <f t="array" ref="AE129">Common_InputFunctions.Utility_DisplayArrayInTable(Fertiliser_SourceData.Fertiliser_Products_Data2(), FertiliserProducts[[#Headers],[Company]],31)</f>
        <v/>
      </c>
      <c r="AF129" s="148" t="str" cm="1">
        <f t="array" ref="AF129">Common_InputFunctions.Utility_DisplayArrayInTable(Fertiliser_SourceData.Fertiliser_Products_Data2(), FertiliserProducts[[#Headers],[Company]],31)</f>
        <v/>
      </c>
      <c r="AG129" s="148" t="str" cm="1">
        <f t="array" ref="AG129">Common_InputFunctions.Utility_DisplayArrayInTable(Fertiliser_SourceData.Fertiliser_Products_Data2(), FertiliserProducts[[#Headers],[Company]],31)</f>
        <v/>
      </c>
      <c r="AH129" s="148" t="str" cm="1">
        <f t="array" ref="AH129">Common_InputFunctions.Utility_DisplayArrayInTable(Fertiliser_SourceData.Fertiliser_Products_Data2(), FertiliserProducts[[#Headers],[Company]],31)</f>
        <v/>
      </c>
      <c r="AK129" s="1"/>
      <c r="AL129" s="1"/>
      <c r="AM129" s="1"/>
    </row>
    <row r="130" spans="4:39" ht="20.100000000000001" customHeight="1" x14ac:dyDescent="0.2">
      <c r="D130" s="148" t="str" cm="1">
        <f t="array" ref="D130">Common_InputFunctions.Utility_DisplayArrayInTable(Fertiliser_SourceData.Fertiliser_Products_Data2(), FertiliserProducts[[#Headers],[Company]],31)</f>
        <v>Loveland Agriproducts</v>
      </c>
      <c r="E130" s="148" t="str" cm="1">
        <f t="array" ref="E130">Common_InputFunctions.Utility_DisplayArrayInTable(Fertiliser_SourceData.Fertiliser_Products_Data2(), FertiliserProducts[[#Headers],[Company]],31)</f>
        <v>Maximum N-Pact</v>
      </c>
      <c r="F130" s="148" t="str" cm="1">
        <f t="array" ref="F130">Common_InputFunctions.Utility_DisplayArrayInTable(Fertiliser_SourceData.Fertiliser_Products_Data2(), FertiliserProducts[[#Headers],[Company]],31)</f>
        <v>L</v>
      </c>
      <c r="G130" s="148" cm="1">
        <f t="array" ref="G130">Common_InputFunctions.Utility_DisplayArrayInTable(Fertiliser_SourceData.Fertiliser_Products_Data2(), FertiliserProducts[[#Headers],[Company]],31)</f>
        <v>1.1850000000000001</v>
      </c>
      <c r="H130" s="148" t="str" cm="1">
        <f t="array" ref="H130">Common_InputFunctions.Utility_DisplayArrayInTable(Fertiliser_SourceData.Fertiliser_Products_Data2(), FertiliserProducts[[#Headers],[Company]],31)</f>
        <v/>
      </c>
      <c r="I130" s="148" t="str" cm="1">
        <f t="array" ref="I130">Common_InputFunctions.Utility_DisplayArrayInTable(Fertiliser_SourceData.Fertiliser_Products_Data2(), FertiliserProducts[[#Headers],[Company]],31)</f>
        <v/>
      </c>
      <c r="J130" s="148" t="str" cm="1">
        <f t="array" ref="J130">Common_InputFunctions.Utility_DisplayArrayInTable(Fertiliser_SourceData.Fertiliser_Products_Data2(), FertiliserProducts[[#Headers],[Company]],31)</f>
        <v/>
      </c>
      <c r="K130" s="148" cm="1">
        <f t="array" ref="K130">Common_InputFunctions.Utility_DisplayArrayInTable(Fertiliser_SourceData.Fertiliser_Products_Data2(), FertiliserProducts[[#Headers],[Company]],31)</f>
        <v>23.8</v>
      </c>
      <c r="L130" s="148" t="str" cm="1">
        <f t="array" ref="L130">Common_InputFunctions.Utility_DisplayArrayInTable(Fertiliser_SourceData.Fertiliser_Products_Data2(), FertiliserProducts[[#Headers],[Company]],31)</f>
        <v/>
      </c>
      <c r="M130" s="148" t="str" cm="1">
        <f t="array" ref="M130">Common_InputFunctions.Utility_DisplayArrayInTable(Fertiliser_SourceData.Fertiliser_Products_Data2(), FertiliserProducts[[#Headers],[Company]],31)</f>
        <v/>
      </c>
      <c r="N130" s="148" t="str" cm="1">
        <f t="array" ref="N130">Common_InputFunctions.Utility_DisplayArrayInTable(Fertiliser_SourceData.Fertiliser_Products_Data2(), FertiliserProducts[[#Headers],[Company]],31)</f>
        <v/>
      </c>
      <c r="O130" s="148" t="str" cm="1">
        <f t="array" ref="O130">Common_InputFunctions.Utility_DisplayArrayInTable(Fertiliser_SourceData.Fertiliser_Products_Data2(), FertiliserProducts[[#Headers],[Company]],31)</f>
        <v>Urea</v>
      </c>
      <c r="P130" s="148" cm="1">
        <f t="array" ref="P130">Common_InputFunctions.Utility_DisplayArrayInTable(Fertiliser_SourceData.Fertiliser_Products_Data2(), FertiliserProducts[[#Headers],[Company]],31)</f>
        <v>0.51739100000000005</v>
      </c>
      <c r="Q130" s="148" t="str" cm="1">
        <f t="array" ref="Q130">Common_InputFunctions.Utility_DisplayArrayInTable(Fertiliser_SourceData.Fertiliser_Products_Data2(), FertiliserProducts[[#Headers],[Company]],31)</f>
        <v/>
      </c>
      <c r="R130" s="148" t="str" cm="1">
        <f t="array" ref="R130">Common_InputFunctions.Utility_DisplayArrayInTable(Fertiliser_SourceData.Fertiliser_Products_Data2(), FertiliserProducts[[#Headers],[Company]],31)</f>
        <v/>
      </c>
      <c r="S130" s="148" t="str" cm="1">
        <f t="array" ref="S130">Common_InputFunctions.Utility_DisplayArrayInTable(Fertiliser_SourceData.Fertiliser_Products_Data2(), FertiliserProducts[[#Headers],[Company]],31)</f>
        <v/>
      </c>
      <c r="T130" s="148" t="str" cm="1">
        <f t="array" ref="T130">Common_InputFunctions.Utility_DisplayArrayInTable(Fertiliser_SourceData.Fertiliser_Products_Data2(), FertiliserProducts[[#Headers],[Company]],31)</f>
        <v/>
      </c>
      <c r="U130" s="148" t="str" cm="1">
        <f t="array" ref="U130">Common_InputFunctions.Utility_DisplayArrayInTable(Fertiliser_SourceData.Fertiliser_Products_Data2(), FertiliserProducts[[#Headers],[Company]],31)</f>
        <v/>
      </c>
      <c r="V130" s="148" t="str" cm="1">
        <f t="array" ref="V130">Common_InputFunctions.Utility_DisplayArrayInTable(Fertiliser_SourceData.Fertiliser_Products_Data2(), FertiliserProducts[[#Headers],[Company]],31)</f>
        <v/>
      </c>
      <c r="W130" s="148" t="str" cm="1">
        <f t="array" ref="W130">Common_InputFunctions.Utility_DisplayArrayInTable(Fertiliser_SourceData.Fertiliser_Products_Data2(), FertiliserProducts[[#Headers],[Company]],31)</f>
        <v/>
      </c>
      <c r="X130" s="148" t="str" cm="1">
        <f t="array" ref="X130">Common_InputFunctions.Utility_DisplayArrayInTable(Fertiliser_SourceData.Fertiliser_Products_Data2(), FertiliserProducts[[#Headers],[Company]],31)</f>
        <v/>
      </c>
      <c r="Y130" s="148" t="str" cm="1">
        <f t="array" ref="Y130">Common_InputFunctions.Utility_DisplayArrayInTable(Fertiliser_SourceData.Fertiliser_Products_Data2(), FertiliserProducts[[#Headers],[Company]],31)</f>
        <v/>
      </c>
      <c r="Z130" s="148" t="str" cm="1">
        <f t="array" ref="Z130">Common_InputFunctions.Utility_DisplayArrayInTable(Fertiliser_SourceData.Fertiliser_Products_Data2(), FertiliserProducts[[#Headers],[Company]],31)</f>
        <v/>
      </c>
      <c r="AA130" s="148" t="str" cm="1">
        <f t="array" ref="AA130">Common_InputFunctions.Utility_DisplayArrayInTable(Fertiliser_SourceData.Fertiliser_Products_Data2(), FertiliserProducts[[#Headers],[Company]],31)</f>
        <v/>
      </c>
      <c r="AB130" s="148" t="str" cm="1">
        <f t="array" ref="AB130">Common_InputFunctions.Utility_DisplayArrayInTable(Fertiliser_SourceData.Fertiliser_Products_Data2(), FertiliserProducts[[#Headers],[Company]],31)</f>
        <v/>
      </c>
      <c r="AC130" s="148" t="str" cm="1">
        <f t="array" ref="AC130">Common_InputFunctions.Utility_DisplayArrayInTable(Fertiliser_SourceData.Fertiliser_Products_Data2(), FertiliserProducts[[#Headers],[Company]],31)</f>
        <v/>
      </c>
      <c r="AD130" s="148" t="str" cm="1">
        <f t="array" ref="AD130">Common_InputFunctions.Utility_DisplayArrayInTable(Fertiliser_SourceData.Fertiliser_Products_Data2(), FertiliserProducts[[#Headers],[Company]],31)</f>
        <v/>
      </c>
      <c r="AE130" s="148" t="str" cm="1">
        <f t="array" ref="AE130">Common_InputFunctions.Utility_DisplayArrayInTable(Fertiliser_SourceData.Fertiliser_Products_Data2(), FertiliserProducts[[#Headers],[Company]],31)</f>
        <v/>
      </c>
      <c r="AF130" s="148" t="str" cm="1">
        <f t="array" ref="AF130">Common_InputFunctions.Utility_DisplayArrayInTable(Fertiliser_SourceData.Fertiliser_Products_Data2(), FertiliserProducts[[#Headers],[Company]],31)</f>
        <v/>
      </c>
      <c r="AG130" s="148" t="str" cm="1">
        <f t="array" ref="AG130">Common_InputFunctions.Utility_DisplayArrayInTable(Fertiliser_SourceData.Fertiliser_Products_Data2(), FertiliserProducts[[#Headers],[Company]],31)</f>
        <v/>
      </c>
      <c r="AH130" s="148" t="str" cm="1">
        <f t="array" ref="AH130">Common_InputFunctions.Utility_DisplayArrayInTable(Fertiliser_SourceData.Fertiliser_Products_Data2(), FertiliserProducts[[#Headers],[Company]],31)</f>
        <v/>
      </c>
      <c r="AK130" s="1"/>
      <c r="AL130" s="1"/>
      <c r="AM130" s="1"/>
    </row>
    <row r="131" spans="4:39" ht="20.100000000000001" customHeight="1" x14ac:dyDescent="0.2">
      <c r="D131" s="148" t="str" cm="1">
        <f t="array" ref="D131">Common_InputFunctions.Utility_DisplayArrayInTable(Fertiliser_SourceData.Fertiliser_Products_Data2(), FertiliserProducts[[#Headers],[Company]],31)</f>
        <v>SL Tec</v>
      </c>
      <c r="E131" s="148" t="str" cm="1">
        <f t="array" ref="E131">Common_InputFunctions.Utility_DisplayArrayInTable(Fertiliser_SourceData.Fertiliser_Products_Data2(), FertiliserProducts[[#Headers],[Company]],31)</f>
        <v>Nitro Combi TE</v>
      </c>
      <c r="F131" s="148" t="str" cm="1">
        <f t="array" ref="F131">Common_InputFunctions.Utility_DisplayArrayInTable(Fertiliser_SourceData.Fertiliser_Products_Data2(), FertiliserProducts[[#Headers],[Company]],31)</f>
        <v>L</v>
      </c>
      <c r="G131" s="148" cm="1">
        <f t="array" ref="G131">Common_InputFunctions.Utility_DisplayArrayInTable(Fertiliser_SourceData.Fertiliser_Products_Data2(), FertiliserProducts[[#Headers],[Company]],31)</f>
        <v>1.2549999999999999</v>
      </c>
      <c r="H131" s="148" t="str" cm="1">
        <f t="array" ref="H131">Common_InputFunctions.Utility_DisplayArrayInTable(Fertiliser_SourceData.Fertiliser_Products_Data2(), FertiliserProducts[[#Headers],[Company]],31)</f>
        <v/>
      </c>
      <c r="I131" s="148" t="str" cm="1">
        <f t="array" ref="I131">Common_InputFunctions.Utility_DisplayArrayInTable(Fertiliser_SourceData.Fertiliser_Products_Data2(), FertiliserProducts[[#Headers],[Company]],31)</f>
        <v/>
      </c>
      <c r="J131" s="148" t="str" cm="1">
        <f t="array" ref="J131">Common_InputFunctions.Utility_DisplayArrayInTable(Fertiliser_SourceData.Fertiliser_Products_Data2(), FertiliserProducts[[#Headers],[Company]],31)</f>
        <v/>
      </c>
      <c r="K131" s="148" t="str" cm="1">
        <f t="array" ref="K131">Common_InputFunctions.Utility_DisplayArrayInTable(Fertiliser_SourceData.Fertiliser_Products_Data2(), FertiliserProducts[[#Headers],[Company]],31)</f>
        <v/>
      </c>
      <c r="L131" s="148" t="str" cm="1">
        <f t="array" ref="L131">Common_InputFunctions.Utility_DisplayArrayInTable(Fertiliser_SourceData.Fertiliser_Products_Data2(), FertiliserProducts[[#Headers],[Company]],31)</f>
        <v/>
      </c>
      <c r="M131" s="148" cm="1">
        <f t="array" ref="M131">Common_InputFunctions.Utility_DisplayArrayInTable(Fertiliser_SourceData.Fertiliser_Products_Data2(), FertiliserProducts[[#Headers],[Company]],31)</f>
        <v>0.1</v>
      </c>
      <c r="N131" s="148" cm="1">
        <f t="array" ref="N131">Common_InputFunctions.Utility_DisplayArrayInTable(Fertiliser_SourceData.Fertiliser_Products_Data2(), FertiliserProducts[[#Headers],[Company]],31)</f>
        <v>4.4000000000000004</v>
      </c>
      <c r="O131" s="148" t="str" cm="1">
        <f t="array" ref="O131">Common_InputFunctions.Utility_DisplayArrayInTable(Fertiliser_SourceData.Fertiliser_Products_Data2(), FertiliserProducts[[#Headers],[Company]],31)</f>
        <v>Sulfur - Generic</v>
      </c>
      <c r="P131" s="148" cm="1">
        <f t="array" ref="P131">Common_InputFunctions.Utility_DisplayArrayInTable(Fertiliser_SourceData.Fertiliser_Products_Data2(), FertiliserProducts[[#Headers],[Company]],31)</f>
        <v>4.3999999999999997E-2</v>
      </c>
      <c r="Q131" s="148" t="str" cm="1">
        <f t="array" ref="Q131">Common_InputFunctions.Utility_DisplayArrayInTable(Fertiliser_SourceData.Fertiliser_Products_Data2(), FertiliserProducts[[#Headers],[Company]],31)</f>
        <v>Zinc</v>
      </c>
      <c r="R131" s="148" cm="1">
        <f t="array" ref="R131">Common_InputFunctions.Utility_DisplayArrayInTable(Fertiliser_SourceData.Fertiliser_Products_Data2(), FertiliserProducts[[#Headers],[Company]],31)</f>
        <v>2.1999999999999999E-2</v>
      </c>
      <c r="S131" s="148" t="str" cm="1">
        <f t="array" ref="S131">Common_InputFunctions.Utility_DisplayArrayInTable(Fertiliser_SourceData.Fertiliser_Products_Data2(), FertiliserProducts[[#Headers],[Company]],31)</f>
        <v>Iron</v>
      </c>
      <c r="T131" s="148" cm="1">
        <f t="array" ref="T131">Common_InputFunctions.Utility_DisplayArrayInTable(Fertiliser_SourceData.Fertiliser_Products_Data2(), FertiliserProducts[[#Headers],[Company]],31)</f>
        <v>2.1999999999999999E-2</v>
      </c>
      <c r="U131" s="148" t="str" cm="1">
        <f t="array" ref="U131">Common_InputFunctions.Utility_DisplayArrayInTable(Fertiliser_SourceData.Fertiliser_Products_Data2(), FertiliserProducts[[#Headers],[Company]],31)</f>
        <v>Manganese</v>
      </c>
      <c r="V131" s="148" cm="1">
        <f t="array" ref="V131">Common_InputFunctions.Utility_DisplayArrayInTable(Fertiliser_SourceData.Fertiliser_Products_Data2(), FertiliserProducts[[#Headers],[Company]],31)</f>
        <v>1.6E-2</v>
      </c>
      <c r="W131" s="148" t="str" cm="1">
        <f t="array" ref="W131">Common_InputFunctions.Utility_DisplayArrayInTable(Fertiliser_SourceData.Fertiliser_Products_Data2(), FertiliserProducts[[#Headers],[Company]],31)</f>
        <v>Boron</v>
      </c>
      <c r="X131" s="148" cm="1">
        <f t="array" ref="X131">Common_InputFunctions.Utility_DisplayArrayInTable(Fertiliser_SourceData.Fertiliser_Products_Data2(), FertiliserProducts[[#Headers],[Company]],31)</f>
        <v>8.0000000000000002E-3</v>
      </c>
      <c r="Y131" s="148" t="str" cm="1">
        <f t="array" ref="Y131">Common_InputFunctions.Utility_DisplayArrayInTable(Fertiliser_SourceData.Fertiliser_Products_Data2(), FertiliserProducts[[#Headers],[Company]],31)</f>
        <v>Magnesium</v>
      </c>
      <c r="Z131" s="148" cm="1">
        <f t="array" ref="Z131">Common_InputFunctions.Utility_DisplayArrayInTable(Fertiliser_SourceData.Fertiliser_Products_Data2(), FertiliserProducts[[#Headers],[Company]],31)</f>
        <v>7.0000000000000001E-3</v>
      </c>
      <c r="AA131" s="148" t="str" cm="1">
        <f t="array" ref="AA131">Common_InputFunctions.Utility_DisplayArrayInTable(Fertiliser_SourceData.Fertiliser_Products_Data2(), FertiliserProducts[[#Headers],[Company]],31)</f>
        <v>Fulvic acid (organic)</v>
      </c>
      <c r="AB131" s="148" cm="1">
        <f t="array" ref="AB131">Common_InputFunctions.Utility_DisplayArrayInTable(Fertiliser_SourceData.Fertiliser_Products_Data2(), FertiliserProducts[[#Headers],[Company]],31)</f>
        <v>5.0000000000000001E-3</v>
      </c>
      <c r="AC131" s="148" t="str" cm="1">
        <f t="array" ref="AC131">Common_InputFunctions.Utility_DisplayArrayInTable(Fertiliser_SourceData.Fertiliser_Products_Data2(), FertiliserProducts[[#Headers],[Company]],31)</f>
        <v>Copper</v>
      </c>
      <c r="AD131" s="148" cm="1">
        <f t="array" ref="AD131">Common_InputFunctions.Utility_DisplayArrayInTable(Fertiliser_SourceData.Fertiliser_Products_Data2(), FertiliserProducts[[#Headers],[Company]],31)</f>
        <v>3.0000000000000001E-3</v>
      </c>
      <c r="AE131" s="148" t="str" cm="1">
        <f t="array" ref="AE131">Common_InputFunctions.Utility_DisplayArrayInTable(Fertiliser_SourceData.Fertiliser_Products_Data2(), FertiliserProducts[[#Headers],[Company]],31)</f>
        <v>Potassium - Generic</v>
      </c>
      <c r="AF131" s="148" cm="1">
        <f t="array" ref="AF131">Common_InputFunctions.Utility_DisplayArrayInTable(Fertiliser_SourceData.Fertiliser_Products_Data2(), FertiliserProducts[[#Headers],[Company]],31)</f>
        <v>1E-3</v>
      </c>
      <c r="AG131" s="148" t="str" cm="1">
        <f t="array" ref="AG131">Common_InputFunctions.Utility_DisplayArrayInTable(Fertiliser_SourceData.Fertiliser_Products_Data2(), FertiliserProducts[[#Headers],[Company]],31)</f>
        <v>Molybdenum</v>
      </c>
      <c r="AH131" s="148"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
      <c r="D132" s="148" t="str" cm="1">
        <f t="array" ref="D132">Common_InputFunctions.Utility_DisplayArrayInTable(Fertiliser_SourceData.Fertiliser_Products_Data2(), FertiliserProducts[[#Headers],[Company]],31)</f>
        <v>Switch Ag</v>
      </c>
      <c r="E132" s="148" t="str" cm="1">
        <f t="array" ref="E132">Common_InputFunctions.Utility_DisplayArrayInTable(Fertiliser_SourceData.Fertiliser_Products_Data2(), FertiliserProducts[[#Headers],[Company]],31)</f>
        <v>PastureMAXX</v>
      </c>
      <c r="F132" s="148" t="str" cm="1">
        <f t="array" ref="F132">Common_InputFunctions.Utility_DisplayArrayInTable(Fertiliser_SourceData.Fertiliser_Products_Data2(), FertiliserProducts[[#Headers],[Company]],31)</f>
        <v>L</v>
      </c>
      <c r="G132" s="148" cm="1">
        <f t="array" ref="G132">Common_InputFunctions.Utility_DisplayArrayInTable(Fertiliser_SourceData.Fertiliser_Products_Data2(), FertiliserProducts[[#Headers],[Company]],31)</f>
        <v>1.23</v>
      </c>
      <c r="H132" s="148" t="str" cm="1">
        <f t="array" ref="H132">Common_InputFunctions.Utility_DisplayArrayInTable(Fertiliser_SourceData.Fertiliser_Products_Data2(), FertiliserProducts[[#Headers],[Company]],31)</f>
        <v/>
      </c>
      <c r="I132" s="148" t="str" cm="1">
        <f t="array" ref="I132">Common_InputFunctions.Utility_DisplayArrayInTable(Fertiliser_SourceData.Fertiliser_Products_Data2(), FertiliserProducts[[#Headers],[Company]],31)</f>
        <v/>
      </c>
      <c r="J132" s="148" t="str" cm="1">
        <f t="array" ref="J132">Common_InputFunctions.Utility_DisplayArrayInTable(Fertiliser_SourceData.Fertiliser_Products_Data2(), FertiliserProducts[[#Headers],[Company]],31)</f>
        <v/>
      </c>
      <c r="K132" s="148" cm="1">
        <f t="array" ref="K132">Common_InputFunctions.Utility_DisplayArrayInTable(Fertiliser_SourceData.Fertiliser_Products_Data2(), FertiliserProducts[[#Headers],[Company]],31)</f>
        <v>9.7100000000000009</v>
      </c>
      <c r="L132" s="148" t="str" cm="1">
        <f t="array" ref="L132">Common_InputFunctions.Utility_DisplayArrayInTable(Fertiliser_SourceData.Fertiliser_Products_Data2(), FertiliserProducts[[#Headers],[Company]],31)</f>
        <v/>
      </c>
      <c r="M132" s="148" cm="1">
        <f t="array" ref="M132">Common_InputFunctions.Utility_DisplayArrayInTable(Fertiliser_SourceData.Fertiliser_Products_Data2(), FertiliserProducts[[#Headers],[Company]],31)</f>
        <v>3.25</v>
      </c>
      <c r="N132" s="148" cm="1">
        <f t="array" ref="N132">Common_InputFunctions.Utility_DisplayArrayInTable(Fertiliser_SourceData.Fertiliser_Products_Data2(), FertiliserProducts[[#Headers],[Company]],31)</f>
        <v>2.11</v>
      </c>
      <c r="O132" s="148" t="str" cm="1">
        <f t="array" ref="O132">Common_InputFunctions.Utility_DisplayArrayInTable(Fertiliser_SourceData.Fertiliser_Products_Data2(), FertiliserProducts[[#Headers],[Company]],31)</f>
        <v>Nitrogen - Generic</v>
      </c>
      <c r="P132" s="148" cm="1">
        <f t="array" ref="P132">Common_InputFunctions.Utility_DisplayArrayInTable(Fertiliser_SourceData.Fertiliser_Products_Data2(), FertiliserProducts[[#Headers],[Company]],31)</f>
        <v>9.7100000000000006E-2</v>
      </c>
      <c r="Q132" s="148" t="str" cm="1">
        <f t="array" ref="Q132">Common_InputFunctions.Utility_DisplayArrayInTable(Fertiliser_SourceData.Fertiliser_Products_Data2(), FertiliserProducts[[#Headers],[Company]],31)</f>
        <v>Potassium - Generic</v>
      </c>
      <c r="R132" s="148" cm="1">
        <f t="array" ref="R132">Common_InputFunctions.Utility_DisplayArrayInTable(Fertiliser_SourceData.Fertiliser_Products_Data2(), FertiliserProducts[[#Headers],[Company]],31)</f>
        <v>3.2500000000000001E-2</v>
      </c>
      <c r="S132" s="148" t="str" cm="1">
        <f t="array" ref="S132">Common_InputFunctions.Utility_DisplayArrayInTable(Fertiliser_SourceData.Fertiliser_Products_Data2(), FertiliserProducts[[#Headers],[Company]],31)</f>
        <v>Sulfur - Generic</v>
      </c>
      <c r="T132" s="148" cm="1">
        <f t="array" ref="T132">Common_InputFunctions.Utility_DisplayArrayInTable(Fertiliser_SourceData.Fertiliser_Products_Data2(), FertiliserProducts[[#Headers],[Company]],31)</f>
        <v>2.1100000000000001E-2</v>
      </c>
      <c r="U132" s="148" t="str" cm="1">
        <f t="array" ref="U132">Common_InputFunctions.Utility_DisplayArrayInTable(Fertiliser_SourceData.Fertiliser_Products_Data2(), FertiliserProducts[[#Headers],[Company]],31)</f>
        <v>Zinc</v>
      </c>
      <c r="V132" s="148" cm="1">
        <f t="array" ref="V132">Common_InputFunctions.Utility_DisplayArrayInTable(Fertiliser_SourceData.Fertiliser_Products_Data2(), FertiliserProducts[[#Headers],[Company]],31)</f>
        <v>1.4999999999999999E-2</v>
      </c>
      <c r="W132" s="148" t="str" cm="1">
        <f t="array" ref="W132">Common_InputFunctions.Utility_DisplayArrayInTable(Fertiliser_SourceData.Fertiliser_Products_Data2(), FertiliserProducts[[#Headers],[Company]],31)</f>
        <v>Iron</v>
      </c>
      <c r="X132" s="148" cm="1">
        <f t="array" ref="X132">Common_InputFunctions.Utility_DisplayArrayInTable(Fertiliser_SourceData.Fertiliser_Products_Data2(), FertiliserProducts[[#Headers],[Company]],31)</f>
        <v>1.11E-2</v>
      </c>
      <c r="Y132" s="148" t="str" cm="1">
        <f t="array" ref="Y132">Common_InputFunctions.Utility_DisplayArrayInTable(Fertiliser_SourceData.Fertiliser_Products_Data2(), FertiliserProducts[[#Headers],[Company]],31)</f>
        <v>Manganese</v>
      </c>
      <c r="Z132" s="148" cm="1">
        <f t="array" ref="Z132">Common_InputFunctions.Utility_DisplayArrayInTable(Fertiliser_SourceData.Fertiliser_Products_Data2(), FertiliserProducts[[#Headers],[Company]],31)</f>
        <v>1.15E-2</v>
      </c>
      <c r="AA132" s="148" t="str" cm="1">
        <f t="array" ref="AA132">Common_InputFunctions.Utility_DisplayArrayInTable(Fertiliser_SourceData.Fertiliser_Products_Data2(), FertiliserProducts[[#Headers],[Company]],31)</f>
        <v>Magnesium</v>
      </c>
      <c r="AB132" s="148" cm="1">
        <f t="array" ref="AB132">Common_InputFunctions.Utility_DisplayArrayInTable(Fertiliser_SourceData.Fertiliser_Products_Data2(), FertiliserProducts[[#Headers],[Company]],31)</f>
        <v>4.4999999999999997E-3</v>
      </c>
      <c r="AC132" s="148" t="str" cm="1">
        <f t="array" ref="AC132">Common_InputFunctions.Utility_DisplayArrayInTable(Fertiliser_SourceData.Fertiliser_Products_Data2(), FertiliserProducts[[#Headers],[Company]],31)</f>
        <v>Boron</v>
      </c>
      <c r="AD132" s="148" cm="1">
        <f t="array" ref="AD132">Common_InputFunctions.Utility_DisplayArrayInTable(Fertiliser_SourceData.Fertiliser_Products_Data2(), FertiliserProducts[[#Headers],[Company]],31)</f>
        <v>2E-3</v>
      </c>
      <c r="AE132" s="148" t="str" cm="1">
        <f t="array" ref="AE132">Common_InputFunctions.Utility_DisplayArrayInTable(Fertiliser_SourceData.Fertiliser_Products_Data2(), FertiliserProducts[[#Headers],[Company]],31)</f>
        <v/>
      </c>
      <c r="AF132" s="148" t="str" cm="1">
        <f t="array" ref="AF132">Common_InputFunctions.Utility_DisplayArrayInTable(Fertiliser_SourceData.Fertiliser_Products_Data2(), FertiliserProducts[[#Headers],[Company]],31)</f>
        <v/>
      </c>
      <c r="AG132" s="148" t="str" cm="1">
        <f t="array" ref="AG132">Common_InputFunctions.Utility_DisplayArrayInTable(Fertiliser_SourceData.Fertiliser_Products_Data2(), FertiliserProducts[[#Headers],[Company]],31)</f>
        <v/>
      </c>
      <c r="AH132" s="148" t="str" cm="1">
        <f t="array" ref="AH132">Common_InputFunctions.Utility_DisplayArrayInTable(Fertiliser_SourceData.Fertiliser_Products_Data2(), FertiliserProducts[[#Headers],[Company]],31)</f>
        <v/>
      </c>
      <c r="AK132" s="1"/>
      <c r="AL132" s="1"/>
      <c r="AM132" s="1"/>
    </row>
    <row r="133" spans="4:39" ht="20.100000000000001" customHeight="1" x14ac:dyDescent="0.2">
      <c r="D133" s="148" t="str" cm="1">
        <f t="array" ref="D133">Common_InputFunctions.Utility_DisplayArrayInTable(Fertiliser_SourceData.Fertiliser_Products_Data2(), FertiliserProducts[[#Headers],[Company]],31)</f>
        <v>Campbells fertilisers Australia</v>
      </c>
      <c r="E133" s="148" t="str" cm="1">
        <f t="array" ref="E133">Common_InputFunctions.Utility_DisplayArrayInTable(Fertiliser_SourceData.Fertiliser_Products_Data2(), FertiliserProducts[[#Headers],[Company]],31)</f>
        <v>Platinum Nergetic</v>
      </c>
      <c r="F133" s="148" t="str" cm="1">
        <f t="array" ref="F133">Common_InputFunctions.Utility_DisplayArrayInTable(Fertiliser_SourceData.Fertiliser_Products_Data2(), FertiliserProducts[[#Headers],[Company]],31)</f>
        <v>kg</v>
      </c>
      <c r="G133" s="148" cm="1">
        <f t="array" ref="G133">Common_InputFunctions.Utility_DisplayArrayInTable(Fertiliser_SourceData.Fertiliser_Products_Data2(), FertiliserProducts[[#Headers],[Company]],31)</f>
        <v>1</v>
      </c>
      <c r="H133" s="148" t="str" cm="1">
        <f t="array" ref="H133">Common_InputFunctions.Utility_DisplayArrayInTable(Fertiliser_SourceData.Fertiliser_Products_Data2(), FertiliserProducts[[#Headers],[Company]],31)</f>
        <v/>
      </c>
      <c r="I133" s="148" t="str" cm="1">
        <f t="array" ref="I133">Common_InputFunctions.Utility_DisplayArrayInTable(Fertiliser_SourceData.Fertiliser_Products_Data2(), FertiliserProducts[[#Headers],[Company]],31)</f>
        <v/>
      </c>
      <c r="J133" s="148" t="str" cm="1">
        <f t="array" ref="J133">Common_InputFunctions.Utility_DisplayArrayInTable(Fertiliser_SourceData.Fertiliser_Products_Data2(), FertiliserProducts[[#Headers],[Company]],31)</f>
        <v/>
      </c>
      <c r="K133" s="148" cm="1">
        <f t="array" ref="K133">Common_InputFunctions.Utility_DisplayArrayInTable(Fertiliser_SourceData.Fertiliser_Products_Data2(), FertiliserProducts[[#Headers],[Company]],31)</f>
        <v>10</v>
      </c>
      <c r="L133" s="148" cm="1">
        <f t="array" ref="L133">Common_InputFunctions.Utility_DisplayArrayInTable(Fertiliser_SourceData.Fertiliser_Products_Data2(), FertiliserProducts[[#Headers],[Company]],31)</f>
        <v>10.9</v>
      </c>
      <c r="M133" s="148" cm="1">
        <f t="array" ref="M133">Common_InputFunctions.Utility_DisplayArrayInTable(Fertiliser_SourceData.Fertiliser_Products_Data2(), FertiliserProducts[[#Headers],[Company]],31)</f>
        <v>10</v>
      </c>
      <c r="N133" s="148" cm="1">
        <f t="array" ref="N133">Common_InputFunctions.Utility_DisplayArrayInTable(Fertiliser_SourceData.Fertiliser_Products_Data2(), FertiliserProducts[[#Headers],[Company]],31)</f>
        <v>4.34</v>
      </c>
      <c r="O133" s="148" t="str" cm="1">
        <f t="array" ref="O133">Common_InputFunctions.Utility_DisplayArrayInTable(Fertiliser_SourceData.Fertiliser_Products_Data2(), FertiliserProducts[[#Headers],[Company]],31)</f>
        <v>Monoammonium phosphate (MAP)</v>
      </c>
      <c r="P133" s="148" cm="1">
        <f t="array" ref="P133">Common_InputFunctions.Utility_DisplayArrayInTable(Fertiliser_SourceData.Fertiliser_Products_Data2(), FertiliserProducts[[#Headers],[Company]],31)</f>
        <v>0.4178</v>
      </c>
      <c r="Q133" s="148" t="str" cm="1">
        <f t="array" ref="Q133">Common_InputFunctions.Utility_DisplayArrayInTable(Fertiliser_SourceData.Fertiliser_Products_Data2(), FertiliserProducts[[#Headers],[Company]],31)</f>
        <v>Ammonium nitrate (AN)</v>
      </c>
      <c r="R133" s="148" cm="1">
        <f t="array" ref="R133">Common_InputFunctions.Utility_DisplayArrayInTable(Fertiliser_SourceData.Fertiliser_Products_Data2(), FertiliserProducts[[#Headers],[Company]],31)</f>
        <v>0.17280000000000001</v>
      </c>
      <c r="S133" s="148" t="str" cm="1">
        <f t="array" ref="S133">Common_InputFunctions.Utility_DisplayArrayInTable(Fertiliser_SourceData.Fertiliser_Products_Data2(), FertiliserProducts[[#Headers],[Company]],31)</f>
        <v>Potassium sulphate</v>
      </c>
      <c r="T133" s="148" cm="1">
        <f t="array" ref="T133">Common_InputFunctions.Utility_DisplayArrayInTable(Fertiliser_SourceData.Fertiliser_Products_Data2(), FertiliserProducts[[#Headers],[Company]],31)</f>
        <v>0.24096400000000001</v>
      </c>
      <c r="U133" s="148" t="str" cm="1">
        <f t="array" ref="U133">Common_InputFunctions.Utility_DisplayArrayInTable(Fertiliser_SourceData.Fertiliser_Products_Data2(), FertiliserProducts[[#Headers],[Company]],31)</f>
        <v>Double superphosphate</v>
      </c>
      <c r="V133" s="148" cm="1">
        <f t="array" ref="V133">Common_InputFunctions.Utility_DisplayArrayInTable(Fertiliser_SourceData.Fertiliser_Products_Data2(), FertiliserProducts[[#Headers],[Company]],31)</f>
        <v>0.1</v>
      </c>
      <c r="W133" s="148" t="str" cm="1">
        <f t="array" ref="W133">Common_InputFunctions.Utility_DisplayArrayInTable(Fertiliser_SourceData.Fertiliser_Products_Data2(), FertiliserProducts[[#Headers],[Company]],31)</f>
        <v>Magnesium</v>
      </c>
      <c r="X133" s="148" cm="1">
        <f t="array" ref="X133">Common_InputFunctions.Utility_DisplayArrayInTable(Fertiliser_SourceData.Fertiliser_Products_Data2(), FertiliserProducts[[#Headers],[Company]],31)</f>
        <v>1.2E-2</v>
      </c>
      <c r="Y133" s="148" t="str" cm="1">
        <f t="array" ref="Y133">Common_InputFunctions.Utility_DisplayArrayInTable(Fertiliser_SourceData.Fertiliser_Products_Data2(), FertiliserProducts[[#Headers],[Company]],31)</f>
        <v>Zinc</v>
      </c>
      <c r="Z133" s="148" cm="1">
        <f t="array" ref="Z133">Common_InputFunctions.Utility_DisplayArrayInTable(Fertiliser_SourceData.Fertiliser_Products_Data2(), FertiliserProducts[[#Headers],[Company]],31)</f>
        <v>3.5999999999999999E-3</v>
      </c>
      <c r="AA133" s="148" t="str" cm="1">
        <f t="array" ref="AA133">Common_InputFunctions.Utility_DisplayArrayInTable(Fertiliser_SourceData.Fertiliser_Products_Data2(), FertiliserProducts[[#Headers],[Company]],31)</f>
        <v>Boron</v>
      </c>
      <c r="AB133" s="148" cm="1">
        <f t="array" ref="AB133">Common_InputFunctions.Utility_DisplayArrayInTable(Fertiliser_SourceData.Fertiliser_Products_Data2(), FertiliserProducts[[#Headers],[Company]],31)</f>
        <v>1E-3</v>
      </c>
      <c r="AC133" s="148" t="str" cm="1">
        <f t="array" ref="AC133">Common_InputFunctions.Utility_DisplayArrayInTable(Fertiliser_SourceData.Fertiliser_Products_Data2(), FertiliserProducts[[#Headers],[Company]],31)</f>
        <v>Glaze Extend G3 Flexi</v>
      </c>
      <c r="AD133" s="148" cm="1">
        <f t="array" ref="AD133">Common_InputFunctions.Utility_DisplayArrayInTable(Fertiliser_SourceData.Fertiliser_Products_Data2(), FertiliserProducts[[#Headers],[Company]],31)</f>
        <v>5.1900000000000002E-2</v>
      </c>
      <c r="AE133" s="148" t="str" cm="1">
        <f t="array" ref="AE133">Common_InputFunctions.Utility_DisplayArrayInTable(Fertiliser_SourceData.Fertiliser_Products_Data2(), FertiliserProducts[[#Headers],[Company]],31)</f>
        <v/>
      </c>
      <c r="AF133" s="148" t="str" cm="1">
        <f t="array" ref="AF133">Common_InputFunctions.Utility_DisplayArrayInTable(Fertiliser_SourceData.Fertiliser_Products_Data2(), FertiliserProducts[[#Headers],[Company]],31)</f>
        <v/>
      </c>
      <c r="AG133" s="148" t="str" cm="1">
        <f t="array" ref="AG133">Common_InputFunctions.Utility_DisplayArrayInTable(Fertiliser_SourceData.Fertiliser_Products_Data2(), FertiliserProducts[[#Headers],[Company]],31)</f>
        <v/>
      </c>
      <c r="AH133" s="148" t="str" cm="1">
        <f t="array" ref="AH133">Common_InputFunctions.Utility_DisplayArrayInTable(Fertiliser_SourceData.Fertiliser_Products_Data2(), FertiliserProducts[[#Headers],[Company]],31)</f>
        <v/>
      </c>
      <c r="AK133" s="1"/>
      <c r="AL133" s="1"/>
      <c r="AM133" s="1"/>
    </row>
    <row r="134" spans="4:39" ht="20.100000000000001" customHeight="1" x14ac:dyDescent="0.2">
      <c r="D134" s="148" t="str" cm="1">
        <f t="array" ref="D134">Common_InputFunctions.Utility_DisplayArrayInTable(Fertiliser_SourceData.Fertiliser_Products_Data2(), FertiliserProducts[[#Headers],[Company]],31)</f>
        <v>Impact Fertilisers</v>
      </c>
      <c r="E134" s="148" t="str" cm="1">
        <f t="array" ref="E134">Common_InputFunctions.Utility_DisplayArrayInTable(Fertiliser_SourceData.Fertiliser_Products_Data2(), FertiliserProducts[[#Headers],[Company]],31)</f>
        <v>Sulphate of ammonia (SOA)</v>
      </c>
      <c r="F134" s="148" t="str" cm="1">
        <f t="array" ref="F134">Common_InputFunctions.Utility_DisplayArrayInTable(Fertiliser_SourceData.Fertiliser_Products_Data2(), FertiliserProducts[[#Headers],[Company]],31)</f>
        <v>kg</v>
      </c>
      <c r="G134" s="148" cm="1">
        <f t="array" ref="G134">Common_InputFunctions.Utility_DisplayArrayInTable(Fertiliser_SourceData.Fertiliser_Products_Data2(), FertiliserProducts[[#Headers],[Company]],31)</f>
        <v>1</v>
      </c>
      <c r="H134" s="148" t="str" cm="1">
        <f t="array" ref="H134">Common_InputFunctions.Utility_DisplayArrayInTable(Fertiliser_SourceData.Fertiliser_Products_Data2(), FertiliserProducts[[#Headers],[Company]],31)</f>
        <v/>
      </c>
      <c r="I134" s="148" t="str" cm="1">
        <f t="array" ref="I134">Common_InputFunctions.Utility_DisplayArrayInTable(Fertiliser_SourceData.Fertiliser_Products_Data2(), FertiliserProducts[[#Headers],[Company]],31)</f>
        <v/>
      </c>
      <c r="J134" s="148" t="str" cm="1">
        <f t="array" ref="J134">Common_InputFunctions.Utility_DisplayArrayInTable(Fertiliser_SourceData.Fertiliser_Products_Data2(), FertiliserProducts[[#Headers],[Company]],31)</f>
        <v/>
      </c>
      <c r="K134" s="148" cm="1">
        <f t="array" ref="K134">Common_InputFunctions.Utility_DisplayArrayInTable(Fertiliser_SourceData.Fertiliser_Products_Data2(), FertiliserProducts[[#Headers],[Company]],31)</f>
        <v>21</v>
      </c>
      <c r="L134" s="148" t="str" cm="1">
        <f t="array" ref="L134">Common_InputFunctions.Utility_DisplayArrayInTable(Fertiliser_SourceData.Fertiliser_Products_Data2(), FertiliserProducts[[#Headers],[Company]],31)</f>
        <v/>
      </c>
      <c r="M134" s="148" t="str" cm="1">
        <f t="array" ref="M134">Common_InputFunctions.Utility_DisplayArrayInTable(Fertiliser_SourceData.Fertiliser_Products_Data2(), FertiliserProducts[[#Headers],[Company]],31)</f>
        <v/>
      </c>
      <c r="N134" s="148" cm="1">
        <f t="array" ref="N134">Common_InputFunctions.Utility_DisplayArrayInTable(Fertiliser_SourceData.Fertiliser_Products_Data2(), FertiliserProducts[[#Headers],[Company]],31)</f>
        <v>24</v>
      </c>
      <c r="O134" s="148" t="str" cm="1">
        <f t="array" ref="O134">Common_InputFunctions.Utility_DisplayArrayInTable(Fertiliser_SourceData.Fertiliser_Products_Data2(), FertiliserProducts[[#Headers],[Company]],31)</f>
        <v>Sulphate of ammonia (SOA)</v>
      </c>
      <c r="P134" s="148" cm="1">
        <f t="array" ref="P134">Common_InputFunctions.Utility_DisplayArrayInTable(Fertiliser_SourceData.Fertiliser_Products_Data2(), FertiliserProducts[[#Headers],[Company]],31)</f>
        <v>1</v>
      </c>
      <c r="Q134" s="148" t="str" cm="1">
        <f t="array" ref="Q134">Common_InputFunctions.Utility_DisplayArrayInTable(Fertiliser_SourceData.Fertiliser_Products_Data2(), FertiliserProducts[[#Headers],[Company]],31)</f>
        <v/>
      </c>
      <c r="R134" s="148" t="str" cm="1">
        <f t="array" ref="R134">Common_InputFunctions.Utility_DisplayArrayInTable(Fertiliser_SourceData.Fertiliser_Products_Data2(), FertiliserProducts[[#Headers],[Company]],31)</f>
        <v/>
      </c>
      <c r="S134" s="148" t="str" cm="1">
        <f t="array" ref="S134">Common_InputFunctions.Utility_DisplayArrayInTable(Fertiliser_SourceData.Fertiliser_Products_Data2(), FertiliserProducts[[#Headers],[Company]],31)</f>
        <v/>
      </c>
      <c r="T134" s="148" t="str" cm="1">
        <f t="array" ref="T134">Common_InputFunctions.Utility_DisplayArrayInTable(Fertiliser_SourceData.Fertiliser_Products_Data2(), FertiliserProducts[[#Headers],[Company]],31)</f>
        <v/>
      </c>
      <c r="U134" s="148" t="str" cm="1">
        <f t="array" ref="U134">Common_InputFunctions.Utility_DisplayArrayInTable(Fertiliser_SourceData.Fertiliser_Products_Data2(), FertiliserProducts[[#Headers],[Company]],31)</f>
        <v/>
      </c>
      <c r="V134" s="148" t="str" cm="1">
        <f t="array" ref="V134">Common_InputFunctions.Utility_DisplayArrayInTable(Fertiliser_SourceData.Fertiliser_Products_Data2(), FertiliserProducts[[#Headers],[Company]],31)</f>
        <v/>
      </c>
      <c r="W134" s="148" t="str" cm="1">
        <f t="array" ref="W134">Common_InputFunctions.Utility_DisplayArrayInTable(Fertiliser_SourceData.Fertiliser_Products_Data2(), FertiliserProducts[[#Headers],[Company]],31)</f>
        <v/>
      </c>
      <c r="X134" s="148" t="str" cm="1">
        <f t="array" ref="X134">Common_InputFunctions.Utility_DisplayArrayInTable(Fertiliser_SourceData.Fertiliser_Products_Data2(), FertiliserProducts[[#Headers],[Company]],31)</f>
        <v/>
      </c>
      <c r="Y134" s="148" t="str" cm="1">
        <f t="array" ref="Y134">Common_InputFunctions.Utility_DisplayArrayInTable(Fertiliser_SourceData.Fertiliser_Products_Data2(), FertiliserProducts[[#Headers],[Company]],31)</f>
        <v/>
      </c>
      <c r="Z134" s="148" t="str" cm="1">
        <f t="array" ref="Z134">Common_InputFunctions.Utility_DisplayArrayInTable(Fertiliser_SourceData.Fertiliser_Products_Data2(), FertiliserProducts[[#Headers],[Company]],31)</f>
        <v/>
      </c>
      <c r="AA134" s="148" t="str" cm="1">
        <f t="array" ref="AA134">Common_InputFunctions.Utility_DisplayArrayInTable(Fertiliser_SourceData.Fertiliser_Products_Data2(), FertiliserProducts[[#Headers],[Company]],31)</f>
        <v/>
      </c>
      <c r="AB134" s="148" t="str" cm="1">
        <f t="array" ref="AB134">Common_InputFunctions.Utility_DisplayArrayInTable(Fertiliser_SourceData.Fertiliser_Products_Data2(), FertiliserProducts[[#Headers],[Company]],31)</f>
        <v/>
      </c>
      <c r="AC134" s="148" t="str" cm="1">
        <f t="array" ref="AC134">Common_InputFunctions.Utility_DisplayArrayInTable(Fertiliser_SourceData.Fertiliser_Products_Data2(), FertiliserProducts[[#Headers],[Company]],31)</f>
        <v/>
      </c>
      <c r="AD134" s="148" t="str" cm="1">
        <f t="array" ref="AD134">Common_InputFunctions.Utility_DisplayArrayInTable(Fertiliser_SourceData.Fertiliser_Products_Data2(), FertiliserProducts[[#Headers],[Company]],31)</f>
        <v/>
      </c>
      <c r="AE134" s="148" t="str" cm="1">
        <f t="array" ref="AE134">Common_InputFunctions.Utility_DisplayArrayInTable(Fertiliser_SourceData.Fertiliser_Products_Data2(), FertiliserProducts[[#Headers],[Company]],31)</f>
        <v/>
      </c>
      <c r="AF134" s="148" t="str" cm="1">
        <f t="array" ref="AF134">Common_InputFunctions.Utility_DisplayArrayInTable(Fertiliser_SourceData.Fertiliser_Products_Data2(), FertiliserProducts[[#Headers],[Company]],31)</f>
        <v/>
      </c>
      <c r="AG134" s="148" t="str" cm="1">
        <f t="array" ref="AG134">Common_InputFunctions.Utility_DisplayArrayInTable(Fertiliser_SourceData.Fertiliser_Products_Data2(), FertiliserProducts[[#Headers],[Company]],31)</f>
        <v/>
      </c>
      <c r="AH134" s="148" t="str" cm="1">
        <f t="array" ref="AH134">Common_InputFunctions.Utility_DisplayArrayInTable(Fertiliser_SourceData.Fertiliser_Products_Data2(), FertiliserProducts[[#Headers],[Company]],31)</f>
        <v/>
      </c>
      <c r="AK134" s="1"/>
      <c r="AL134" s="1"/>
      <c r="AM134" s="1"/>
    </row>
    <row r="135" spans="4:39" ht="20.100000000000001" customHeight="1" x14ac:dyDescent="0.2">
      <c r="D135" s="148" t="str" cm="1">
        <f t="array" ref="D135">Common_InputFunctions.Utility_DisplayArrayInTable(Fertiliser_SourceData.Fertiliser_Products_Data2(), FertiliserProducts[[#Headers],[Company]],31)</f>
        <v>Impact Fertilisers</v>
      </c>
      <c r="E135" s="148" t="str" cm="1">
        <f t="array" ref="E135">Common_InputFunctions.Utility_DisplayArrayInTable(Fertiliser_SourceData.Fertiliser_Products_Data2(), FertiliserProducts[[#Headers],[Company]],31)</f>
        <v>Mono-Ammonium Phosphate (MAP)</v>
      </c>
      <c r="F135" s="148" t="str" cm="1">
        <f t="array" ref="F135">Common_InputFunctions.Utility_DisplayArrayInTable(Fertiliser_SourceData.Fertiliser_Products_Data2(), FertiliserProducts[[#Headers],[Company]],31)</f>
        <v>kg</v>
      </c>
      <c r="G135" s="148" cm="1">
        <f t="array" ref="G135">Common_InputFunctions.Utility_DisplayArrayInTable(Fertiliser_SourceData.Fertiliser_Products_Data2(), FertiliserProducts[[#Headers],[Company]],31)</f>
        <v>1</v>
      </c>
      <c r="H135" s="148" t="str" cm="1">
        <f t="array" ref="H135">Common_InputFunctions.Utility_DisplayArrayInTable(Fertiliser_SourceData.Fertiliser_Products_Data2(), FertiliserProducts[[#Headers],[Company]],31)</f>
        <v/>
      </c>
      <c r="I135" s="148" t="str" cm="1">
        <f t="array" ref="I135">Common_InputFunctions.Utility_DisplayArrayInTable(Fertiliser_SourceData.Fertiliser_Products_Data2(), FertiliserProducts[[#Headers],[Company]],31)</f>
        <v/>
      </c>
      <c r="J135" s="148" t="str" cm="1">
        <f t="array" ref="J135">Common_InputFunctions.Utility_DisplayArrayInTable(Fertiliser_SourceData.Fertiliser_Products_Data2(), FertiliserProducts[[#Headers],[Company]],31)</f>
        <v/>
      </c>
      <c r="K135" s="148" cm="1">
        <f t="array" ref="K135">Common_InputFunctions.Utility_DisplayArrayInTable(Fertiliser_SourceData.Fertiliser_Products_Data2(), FertiliserProducts[[#Headers],[Company]],31)</f>
        <v>10</v>
      </c>
      <c r="L135" s="148" cm="1">
        <f t="array" ref="L135">Common_InputFunctions.Utility_DisplayArrayInTable(Fertiliser_SourceData.Fertiliser_Products_Data2(), FertiliserProducts[[#Headers],[Company]],31)</f>
        <v>21.9</v>
      </c>
      <c r="M135" s="148" t="str" cm="1">
        <f t="array" ref="M135">Common_InputFunctions.Utility_DisplayArrayInTable(Fertiliser_SourceData.Fertiliser_Products_Data2(), FertiliserProducts[[#Headers],[Company]],31)</f>
        <v/>
      </c>
      <c r="N135" s="148" cm="1">
        <f t="array" ref="N135">Common_InputFunctions.Utility_DisplayArrayInTable(Fertiliser_SourceData.Fertiliser_Products_Data2(), FertiliserProducts[[#Headers],[Company]],31)</f>
        <v>1.5</v>
      </c>
      <c r="O135" s="148" t="str" cm="1">
        <f t="array" ref="O135">Common_InputFunctions.Utility_DisplayArrayInTable(Fertiliser_SourceData.Fertiliser_Products_Data2(), FertiliserProducts[[#Headers],[Company]],31)</f>
        <v>Monoammonium phosphate (MAP)</v>
      </c>
      <c r="P135" s="148" cm="1">
        <f t="array" ref="P135">Common_InputFunctions.Utility_DisplayArrayInTable(Fertiliser_SourceData.Fertiliser_Products_Data2(), FertiliserProducts[[#Headers],[Company]],31)</f>
        <v>1</v>
      </c>
      <c r="Q135" s="148" t="str" cm="1">
        <f t="array" ref="Q135">Common_InputFunctions.Utility_DisplayArrayInTable(Fertiliser_SourceData.Fertiliser_Products_Data2(), FertiliserProducts[[#Headers],[Company]],31)</f>
        <v/>
      </c>
      <c r="R135" s="148" t="str" cm="1">
        <f t="array" ref="R135">Common_InputFunctions.Utility_DisplayArrayInTable(Fertiliser_SourceData.Fertiliser_Products_Data2(), FertiliserProducts[[#Headers],[Company]],31)</f>
        <v/>
      </c>
      <c r="S135" s="148" t="str" cm="1">
        <f t="array" ref="S135">Common_InputFunctions.Utility_DisplayArrayInTable(Fertiliser_SourceData.Fertiliser_Products_Data2(), FertiliserProducts[[#Headers],[Company]],31)</f>
        <v/>
      </c>
      <c r="T135" s="148" t="str" cm="1">
        <f t="array" ref="T135">Common_InputFunctions.Utility_DisplayArrayInTable(Fertiliser_SourceData.Fertiliser_Products_Data2(), FertiliserProducts[[#Headers],[Company]],31)</f>
        <v/>
      </c>
      <c r="U135" s="148" t="str" cm="1">
        <f t="array" ref="U135">Common_InputFunctions.Utility_DisplayArrayInTable(Fertiliser_SourceData.Fertiliser_Products_Data2(), FertiliserProducts[[#Headers],[Company]],31)</f>
        <v/>
      </c>
      <c r="V135" s="148" t="str" cm="1">
        <f t="array" ref="V135">Common_InputFunctions.Utility_DisplayArrayInTable(Fertiliser_SourceData.Fertiliser_Products_Data2(), FertiliserProducts[[#Headers],[Company]],31)</f>
        <v/>
      </c>
      <c r="W135" s="148" t="str" cm="1">
        <f t="array" ref="W135">Common_InputFunctions.Utility_DisplayArrayInTable(Fertiliser_SourceData.Fertiliser_Products_Data2(), FertiliserProducts[[#Headers],[Company]],31)</f>
        <v/>
      </c>
      <c r="X135" s="148" t="str" cm="1">
        <f t="array" ref="X135">Common_InputFunctions.Utility_DisplayArrayInTable(Fertiliser_SourceData.Fertiliser_Products_Data2(), FertiliserProducts[[#Headers],[Company]],31)</f>
        <v/>
      </c>
      <c r="Y135" s="148" t="str" cm="1">
        <f t="array" ref="Y135">Common_InputFunctions.Utility_DisplayArrayInTable(Fertiliser_SourceData.Fertiliser_Products_Data2(), FertiliserProducts[[#Headers],[Company]],31)</f>
        <v/>
      </c>
      <c r="Z135" s="148" t="str" cm="1">
        <f t="array" ref="Z135">Common_InputFunctions.Utility_DisplayArrayInTable(Fertiliser_SourceData.Fertiliser_Products_Data2(), FertiliserProducts[[#Headers],[Company]],31)</f>
        <v/>
      </c>
      <c r="AA135" s="148" t="str" cm="1">
        <f t="array" ref="AA135">Common_InputFunctions.Utility_DisplayArrayInTable(Fertiliser_SourceData.Fertiliser_Products_Data2(), FertiliserProducts[[#Headers],[Company]],31)</f>
        <v/>
      </c>
      <c r="AB135" s="148" t="str" cm="1">
        <f t="array" ref="AB135">Common_InputFunctions.Utility_DisplayArrayInTable(Fertiliser_SourceData.Fertiliser_Products_Data2(), FertiliserProducts[[#Headers],[Company]],31)</f>
        <v/>
      </c>
      <c r="AC135" s="148" t="str" cm="1">
        <f t="array" ref="AC135">Common_InputFunctions.Utility_DisplayArrayInTable(Fertiliser_SourceData.Fertiliser_Products_Data2(), FertiliserProducts[[#Headers],[Company]],31)</f>
        <v/>
      </c>
      <c r="AD135" s="148" t="str" cm="1">
        <f t="array" ref="AD135">Common_InputFunctions.Utility_DisplayArrayInTable(Fertiliser_SourceData.Fertiliser_Products_Data2(), FertiliserProducts[[#Headers],[Company]],31)</f>
        <v/>
      </c>
      <c r="AE135" s="148" t="str" cm="1">
        <f t="array" ref="AE135">Common_InputFunctions.Utility_DisplayArrayInTable(Fertiliser_SourceData.Fertiliser_Products_Data2(), FertiliserProducts[[#Headers],[Company]],31)</f>
        <v/>
      </c>
      <c r="AF135" s="148" t="str" cm="1">
        <f t="array" ref="AF135">Common_InputFunctions.Utility_DisplayArrayInTable(Fertiliser_SourceData.Fertiliser_Products_Data2(), FertiliserProducts[[#Headers],[Company]],31)</f>
        <v/>
      </c>
      <c r="AG135" s="148" t="str" cm="1">
        <f t="array" ref="AG135">Common_InputFunctions.Utility_DisplayArrayInTable(Fertiliser_SourceData.Fertiliser_Products_Data2(), FertiliserProducts[[#Headers],[Company]],31)</f>
        <v/>
      </c>
      <c r="AH135" s="148" t="str" cm="1">
        <f t="array" ref="AH135">Common_InputFunctions.Utility_DisplayArrayInTable(Fertiliser_SourceData.Fertiliser_Products_Data2(), FertiliserProducts[[#Headers],[Company]],31)</f>
        <v/>
      </c>
      <c r="AK135" s="1"/>
      <c r="AL135" s="1"/>
      <c r="AM135" s="1"/>
    </row>
    <row r="136" spans="4:39" ht="20.100000000000001" customHeight="1" x14ac:dyDescent="0.2">
      <c r="D136" s="148" t="str" cm="1">
        <f t="array" ref="D136">Common_InputFunctions.Utility_DisplayArrayInTable(Fertiliser_SourceData.Fertiliser_Products_Data2(), FertiliserProducts[[#Headers],[Company]],31)</f>
        <v>Impact Fertilisers</v>
      </c>
      <c r="E136" s="148" t="str" cm="1">
        <f t="array" ref="E136">Common_InputFunctions.Utility_DisplayArrayInTable(Fertiliser_SourceData.Fertiliser_Products_Data2(), FertiliserProducts[[#Headers],[Company]],31)</f>
        <v>Urea</v>
      </c>
      <c r="F136" s="148" t="str" cm="1">
        <f t="array" ref="F136">Common_InputFunctions.Utility_DisplayArrayInTable(Fertiliser_SourceData.Fertiliser_Products_Data2(), FertiliserProducts[[#Headers],[Company]],31)</f>
        <v>kg</v>
      </c>
      <c r="G136" s="148" cm="1">
        <f t="array" ref="G136">Common_InputFunctions.Utility_DisplayArrayInTable(Fertiliser_SourceData.Fertiliser_Products_Data2(), FertiliserProducts[[#Headers],[Company]],31)</f>
        <v>1</v>
      </c>
      <c r="H136" s="148" t="str" cm="1">
        <f t="array" ref="H136">Common_InputFunctions.Utility_DisplayArrayInTable(Fertiliser_SourceData.Fertiliser_Products_Data2(), FertiliserProducts[[#Headers],[Company]],31)</f>
        <v/>
      </c>
      <c r="I136" s="148" t="str" cm="1">
        <f t="array" ref="I136">Common_InputFunctions.Utility_DisplayArrayInTable(Fertiliser_SourceData.Fertiliser_Products_Data2(), FertiliserProducts[[#Headers],[Company]],31)</f>
        <v/>
      </c>
      <c r="J136" s="148" t="str" cm="1">
        <f t="array" ref="J136">Common_InputFunctions.Utility_DisplayArrayInTable(Fertiliser_SourceData.Fertiliser_Products_Data2(), FertiliserProducts[[#Headers],[Company]],31)</f>
        <v/>
      </c>
      <c r="K136" s="148" cm="1">
        <f t="array" ref="K136">Common_InputFunctions.Utility_DisplayArrayInTable(Fertiliser_SourceData.Fertiliser_Products_Data2(), FertiliserProducts[[#Headers],[Company]],31)</f>
        <v>46</v>
      </c>
      <c r="L136" s="148" t="str" cm="1">
        <f t="array" ref="L136">Common_InputFunctions.Utility_DisplayArrayInTable(Fertiliser_SourceData.Fertiliser_Products_Data2(), FertiliserProducts[[#Headers],[Company]],31)</f>
        <v/>
      </c>
      <c r="M136" s="148" t="str" cm="1">
        <f t="array" ref="M136">Common_InputFunctions.Utility_DisplayArrayInTable(Fertiliser_SourceData.Fertiliser_Products_Data2(), FertiliserProducts[[#Headers],[Company]],31)</f>
        <v/>
      </c>
      <c r="N136" s="148" t="str" cm="1">
        <f t="array" ref="N136">Common_InputFunctions.Utility_DisplayArrayInTable(Fertiliser_SourceData.Fertiliser_Products_Data2(), FertiliserProducts[[#Headers],[Company]],31)</f>
        <v/>
      </c>
      <c r="O136" s="148" t="str" cm="1">
        <f t="array" ref="O136">Common_InputFunctions.Utility_DisplayArrayInTable(Fertiliser_SourceData.Fertiliser_Products_Data2(), FertiliserProducts[[#Headers],[Company]],31)</f>
        <v>Urea</v>
      </c>
      <c r="P136" s="148" cm="1">
        <f t="array" ref="P136">Common_InputFunctions.Utility_DisplayArrayInTable(Fertiliser_SourceData.Fertiliser_Products_Data2(), FertiliserProducts[[#Headers],[Company]],31)</f>
        <v>1</v>
      </c>
      <c r="Q136" s="148" t="str" cm="1">
        <f t="array" ref="Q136">Common_InputFunctions.Utility_DisplayArrayInTable(Fertiliser_SourceData.Fertiliser_Products_Data2(), FertiliserProducts[[#Headers],[Company]],31)</f>
        <v/>
      </c>
      <c r="R136" s="148" t="str" cm="1">
        <f t="array" ref="R136">Common_InputFunctions.Utility_DisplayArrayInTable(Fertiliser_SourceData.Fertiliser_Products_Data2(), FertiliserProducts[[#Headers],[Company]],31)</f>
        <v/>
      </c>
      <c r="S136" s="148" t="str" cm="1">
        <f t="array" ref="S136">Common_InputFunctions.Utility_DisplayArrayInTable(Fertiliser_SourceData.Fertiliser_Products_Data2(), FertiliserProducts[[#Headers],[Company]],31)</f>
        <v/>
      </c>
      <c r="T136" s="148" t="str" cm="1">
        <f t="array" ref="T136">Common_InputFunctions.Utility_DisplayArrayInTable(Fertiliser_SourceData.Fertiliser_Products_Data2(), FertiliserProducts[[#Headers],[Company]],31)</f>
        <v/>
      </c>
      <c r="U136" s="148" t="str" cm="1">
        <f t="array" ref="U136">Common_InputFunctions.Utility_DisplayArrayInTable(Fertiliser_SourceData.Fertiliser_Products_Data2(), FertiliserProducts[[#Headers],[Company]],31)</f>
        <v/>
      </c>
      <c r="V136" s="148" t="str" cm="1">
        <f t="array" ref="V136">Common_InputFunctions.Utility_DisplayArrayInTable(Fertiliser_SourceData.Fertiliser_Products_Data2(), FertiliserProducts[[#Headers],[Company]],31)</f>
        <v/>
      </c>
      <c r="W136" s="148" t="str" cm="1">
        <f t="array" ref="W136">Common_InputFunctions.Utility_DisplayArrayInTable(Fertiliser_SourceData.Fertiliser_Products_Data2(), FertiliserProducts[[#Headers],[Company]],31)</f>
        <v/>
      </c>
      <c r="X136" s="148" t="str" cm="1">
        <f t="array" ref="X136">Common_InputFunctions.Utility_DisplayArrayInTable(Fertiliser_SourceData.Fertiliser_Products_Data2(), FertiliserProducts[[#Headers],[Company]],31)</f>
        <v/>
      </c>
      <c r="Y136" s="148" t="str" cm="1">
        <f t="array" ref="Y136">Common_InputFunctions.Utility_DisplayArrayInTable(Fertiliser_SourceData.Fertiliser_Products_Data2(), FertiliserProducts[[#Headers],[Company]],31)</f>
        <v/>
      </c>
      <c r="Z136" s="148" t="str" cm="1">
        <f t="array" ref="Z136">Common_InputFunctions.Utility_DisplayArrayInTable(Fertiliser_SourceData.Fertiliser_Products_Data2(), FertiliserProducts[[#Headers],[Company]],31)</f>
        <v/>
      </c>
      <c r="AA136" s="148" t="str" cm="1">
        <f t="array" ref="AA136">Common_InputFunctions.Utility_DisplayArrayInTable(Fertiliser_SourceData.Fertiliser_Products_Data2(), FertiliserProducts[[#Headers],[Company]],31)</f>
        <v/>
      </c>
      <c r="AB136" s="148" t="str" cm="1">
        <f t="array" ref="AB136">Common_InputFunctions.Utility_DisplayArrayInTable(Fertiliser_SourceData.Fertiliser_Products_Data2(), FertiliserProducts[[#Headers],[Company]],31)</f>
        <v/>
      </c>
      <c r="AC136" s="148" t="str" cm="1">
        <f t="array" ref="AC136">Common_InputFunctions.Utility_DisplayArrayInTable(Fertiliser_SourceData.Fertiliser_Products_Data2(), FertiliserProducts[[#Headers],[Company]],31)</f>
        <v/>
      </c>
      <c r="AD136" s="148" t="str" cm="1">
        <f t="array" ref="AD136">Common_InputFunctions.Utility_DisplayArrayInTable(Fertiliser_SourceData.Fertiliser_Products_Data2(), FertiliserProducts[[#Headers],[Company]],31)</f>
        <v/>
      </c>
      <c r="AE136" s="148" t="str" cm="1">
        <f t="array" ref="AE136">Common_InputFunctions.Utility_DisplayArrayInTable(Fertiliser_SourceData.Fertiliser_Products_Data2(), FertiliserProducts[[#Headers],[Company]],31)</f>
        <v/>
      </c>
      <c r="AF136" s="148" t="str" cm="1">
        <f t="array" ref="AF136">Common_InputFunctions.Utility_DisplayArrayInTable(Fertiliser_SourceData.Fertiliser_Products_Data2(), FertiliserProducts[[#Headers],[Company]],31)</f>
        <v/>
      </c>
      <c r="AG136" s="148" t="str" cm="1">
        <f t="array" ref="AG136">Common_InputFunctions.Utility_DisplayArrayInTable(Fertiliser_SourceData.Fertiliser_Products_Data2(), FertiliserProducts[[#Headers],[Company]],31)</f>
        <v/>
      </c>
      <c r="AH136" s="148" t="str" cm="1">
        <f t="array" ref="AH136">Common_InputFunctions.Utility_DisplayArrayInTable(Fertiliser_SourceData.Fertiliser_Products_Data2(), FertiliserProducts[[#Headers],[Company]],31)</f>
        <v/>
      </c>
      <c r="AK136" s="1"/>
      <c r="AL136" s="1"/>
      <c r="AM136" s="1"/>
    </row>
    <row r="137" spans="4:39" ht="20.100000000000001" customHeight="1" x14ac:dyDescent="0.2">
      <c r="D137" s="148" t="str" cm="1">
        <f t="array" ref="D137">Common_InputFunctions.Utility_DisplayArrayInTable(Fertiliser_SourceData.Fertiliser_Products_Data2(), FertiliserProducts[[#Headers],[Company]],31)</f>
        <v>Koch Fertiliser Australia</v>
      </c>
      <c r="E137" s="148" t="str" cm="1">
        <f t="array" ref="E137">Common_InputFunctions.Utility_DisplayArrayInTable(Fertiliser_SourceData.Fertiliser_Products_Data2(), FertiliserProducts[[#Headers],[Company]],31)</f>
        <v>Muriate of potash (MOP)</v>
      </c>
      <c r="F137" s="148" t="str" cm="1">
        <f t="array" ref="F137">Common_InputFunctions.Utility_DisplayArrayInTable(Fertiliser_SourceData.Fertiliser_Products_Data2(), FertiliserProducts[[#Headers],[Company]],31)</f>
        <v>kg</v>
      </c>
      <c r="G137" s="148" cm="1">
        <f t="array" ref="G137">Common_InputFunctions.Utility_DisplayArrayInTable(Fertiliser_SourceData.Fertiliser_Products_Data2(), FertiliserProducts[[#Headers],[Company]],31)</f>
        <v>1</v>
      </c>
      <c r="H137" s="148" t="str" cm="1">
        <f t="array" ref="H137">Common_InputFunctions.Utility_DisplayArrayInTable(Fertiliser_SourceData.Fertiliser_Products_Data2(), FertiliserProducts[[#Headers],[Company]],31)</f>
        <v/>
      </c>
      <c r="I137" s="148" t="str" cm="1">
        <f t="array" ref="I137">Common_InputFunctions.Utility_DisplayArrayInTable(Fertiliser_SourceData.Fertiliser_Products_Data2(), FertiliserProducts[[#Headers],[Company]],31)</f>
        <v/>
      </c>
      <c r="J137" s="148" t="str" cm="1">
        <f t="array" ref="J137">Common_InputFunctions.Utility_DisplayArrayInTable(Fertiliser_SourceData.Fertiliser_Products_Data2(), FertiliserProducts[[#Headers],[Company]],31)</f>
        <v/>
      </c>
      <c r="K137" s="148" t="str" cm="1">
        <f t="array" ref="K137">Common_InputFunctions.Utility_DisplayArrayInTable(Fertiliser_SourceData.Fertiliser_Products_Data2(), FertiliserProducts[[#Headers],[Company]],31)</f>
        <v/>
      </c>
      <c r="L137" s="148" t="str" cm="1">
        <f t="array" ref="L137">Common_InputFunctions.Utility_DisplayArrayInTable(Fertiliser_SourceData.Fertiliser_Products_Data2(), FertiliserProducts[[#Headers],[Company]],31)</f>
        <v/>
      </c>
      <c r="M137" s="148" cm="1">
        <f t="array" ref="M137">Common_InputFunctions.Utility_DisplayArrayInTable(Fertiliser_SourceData.Fertiliser_Products_Data2(), FertiliserProducts[[#Headers],[Company]],31)</f>
        <v>50</v>
      </c>
      <c r="N137" s="148" t="str" cm="1">
        <f t="array" ref="N137">Common_InputFunctions.Utility_DisplayArrayInTable(Fertiliser_SourceData.Fertiliser_Products_Data2(), FertiliserProducts[[#Headers],[Company]],31)</f>
        <v/>
      </c>
      <c r="O137" s="148" t="str" cm="1">
        <f t="array" ref="O137">Common_InputFunctions.Utility_DisplayArrayInTable(Fertiliser_SourceData.Fertiliser_Products_Data2(), FertiliserProducts[[#Headers],[Company]],31)</f>
        <v>Muriate of potash (MOP)</v>
      </c>
      <c r="P137" s="148" cm="1">
        <f t="array" ref="P137">Common_InputFunctions.Utility_DisplayArrayInTable(Fertiliser_SourceData.Fertiliser_Products_Data2(), FertiliserProducts[[#Headers],[Company]],31)</f>
        <v>1</v>
      </c>
      <c r="Q137" s="148" t="str" cm="1">
        <f t="array" ref="Q137">Common_InputFunctions.Utility_DisplayArrayInTable(Fertiliser_SourceData.Fertiliser_Products_Data2(), FertiliserProducts[[#Headers],[Company]],31)</f>
        <v/>
      </c>
      <c r="R137" s="148" t="str" cm="1">
        <f t="array" ref="R137">Common_InputFunctions.Utility_DisplayArrayInTable(Fertiliser_SourceData.Fertiliser_Products_Data2(), FertiliserProducts[[#Headers],[Company]],31)</f>
        <v/>
      </c>
      <c r="S137" s="148" t="str" cm="1">
        <f t="array" ref="S137">Common_InputFunctions.Utility_DisplayArrayInTable(Fertiliser_SourceData.Fertiliser_Products_Data2(), FertiliserProducts[[#Headers],[Company]],31)</f>
        <v/>
      </c>
      <c r="T137" s="148" t="str" cm="1">
        <f t="array" ref="T137">Common_InputFunctions.Utility_DisplayArrayInTable(Fertiliser_SourceData.Fertiliser_Products_Data2(), FertiliserProducts[[#Headers],[Company]],31)</f>
        <v/>
      </c>
      <c r="U137" s="148" t="str" cm="1">
        <f t="array" ref="U137">Common_InputFunctions.Utility_DisplayArrayInTable(Fertiliser_SourceData.Fertiliser_Products_Data2(), FertiliserProducts[[#Headers],[Company]],31)</f>
        <v/>
      </c>
      <c r="V137" s="148" t="str" cm="1">
        <f t="array" ref="V137">Common_InputFunctions.Utility_DisplayArrayInTable(Fertiliser_SourceData.Fertiliser_Products_Data2(), FertiliserProducts[[#Headers],[Company]],31)</f>
        <v/>
      </c>
      <c r="W137" s="148" t="str" cm="1">
        <f t="array" ref="W137">Common_InputFunctions.Utility_DisplayArrayInTable(Fertiliser_SourceData.Fertiliser_Products_Data2(), FertiliserProducts[[#Headers],[Company]],31)</f>
        <v/>
      </c>
      <c r="X137" s="148" t="str" cm="1">
        <f t="array" ref="X137">Common_InputFunctions.Utility_DisplayArrayInTable(Fertiliser_SourceData.Fertiliser_Products_Data2(), FertiliserProducts[[#Headers],[Company]],31)</f>
        <v/>
      </c>
      <c r="Y137" s="148" t="str" cm="1">
        <f t="array" ref="Y137">Common_InputFunctions.Utility_DisplayArrayInTable(Fertiliser_SourceData.Fertiliser_Products_Data2(), FertiliserProducts[[#Headers],[Company]],31)</f>
        <v/>
      </c>
      <c r="Z137" s="148" t="str" cm="1">
        <f t="array" ref="Z137">Common_InputFunctions.Utility_DisplayArrayInTable(Fertiliser_SourceData.Fertiliser_Products_Data2(), FertiliserProducts[[#Headers],[Company]],31)</f>
        <v/>
      </c>
      <c r="AA137" s="148" t="str" cm="1">
        <f t="array" ref="AA137">Common_InputFunctions.Utility_DisplayArrayInTable(Fertiliser_SourceData.Fertiliser_Products_Data2(), FertiliserProducts[[#Headers],[Company]],31)</f>
        <v/>
      </c>
      <c r="AB137" s="148" t="str" cm="1">
        <f t="array" ref="AB137">Common_InputFunctions.Utility_DisplayArrayInTable(Fertiliser_SourceData.Fertiliser_Products_Data2(), FertiliserProducts[[#Headers],[Company]],31)</f>
        <v/>
      </c>
      <c r="AC137" s="148" t="str" cm="1">
        <f t="array" ref="AC137">Common_InputFunctions.Utility_DisplayArrayInTable(Fertiliser_SourceData.Fertiliser_Products_Data2(), FertiliserProducts[[#Headers],[Company]],31)</f>
        <v/>
      </c>
      <c r="AD137" s="148" t="str" cm="1">
        <f t="array" ref="AD137">Common_InputFunctions.Utility_DisplayArrayInTable(Fertiliser_SourceData.Fertiliser_Products_Data2(), FertiliserProducts[[#Headers],[Company]],31)</f>
        <v/>
      </c>
      <c r="AE137" s="148" t="str" cm="1">
        <f t="array" ref="AE137">Common_InputFunctions.Utility_DisplayArrayInTable(Fertiliser_SourceData.Fertiliser_Products_Data2(), FertiliserProducts[[#Headers],[Company]],31)</f>
        <v/>
      </c>
      <c r="AF137" s="148" t="str" cm="1">
        <f t="array" ref="AF137">Common_InputFunctions.Utility_DisplayArrayInTable(Fertiliser_SourceData.Fertiliser_Products_Data2(), FertiliserProducts[[#Headers],[Company]],31)</f>
        <v/>
      </c>
      <c r="AG137" s="148" t="str" cm="1">
        <f t="array" ref="AG137">Common_InputFunctions.Utility_DisplayArrayInTable(Fertiliser_SourceData.Fertiliser_Products_Data2(), FertiliserProducts[[#Headers],[Company]],31)</f>
        <v/>
      </c>
      <c r="AH137" s="148" t="str" cm="1">
        <f t="array" ref="AH137">Common_InputFunctions.Utility_DisplayArrayInTable(Fertiliser_SourceData.Fertiliser_Products_Data2(), FertiliserProducts[[#Headers],[Company]],31)</f>
        <v/>
      </c>
      <c r="AK137" s="1"/>
      <c r="AL137" s="1"/>
      <c r="AM137" s="1"/>
    </row>
    <row r="138" spans="4:39" ht="20.100000000000001" customHeight="1" x14ac:dyDescent="0.2">
      <c r="D138" s="148" t="str" cm="1">
        <f t="array" ref="D138">Common_InputFunctions.Utility_DisplayArrayInTable(Fertiliser_SourceData.Fertiliser_Products_Data2(), FertiliserProducts[[#Headers],[Company]],31)</f>
        <v>Risso-Chemical</v>
      </c>
      <c r="E138" s="148" t="str" cm="1">
        <f t="array" ref="E138">Common_InputFunctions.Utility_DisplayArrayInTable(Fertiliser_SourceData.Fertiliser_Products_Data2(), FertiliserProducts[[#Headers],[Company]],31)</f>
        <v>Urea Ammonium nitrate (UAN 32-0-0)</v>
      </c>
      <c r="F138" s="148" t="str" cm="1">
        <f t="array" ref="F138">Common_InputFunctions.Utility_DisplayArrayInTable(Fertiliser_SourceData.Fertiliser_Products_Data2(), FertiliserProducts[[#Headers],[Company]],31)</f>
        <v>L</v>
      </c>
      <c r="G138" s="148" cm="1">
        <f t="array" ref="G138">Common_InputFunctions.Utility_DisplayArrayInTable(Fertiliser_SourceData.Fertiliser_Products_Data2(), FertiliserProducts[[#Headers],[Company]],31)</f>
        <v>1.32</v>
      </c>
      <c r="H138" s="148" t="str" cm="1">
        <f t="array" ref="H138">Common_InputFunctions.Utility_DisplayArrayInTable(Fertiliser_SourceData.Fertiliser_Products_Data2(), FertiliserProducts[[#Headers],[Company]],31)</f>
        <v/>
      </c>
      <c r="I138" s="148" t="str" cm="1">
        <f t="array" ref="I138">Common_InputFunctions.Utility_DisplayArrayInTable(Fertiliser_SourceData.Fertiliser_Products_Data2(), FertiliserProducts[[#Headers],[Company]],31)</f>
        <v>China</v>
      </c>
      <c r="J138" s="148" t="str" cm="1">
        <f t="array" ref="J138">Common_InputFunctions.Utility_DisplayArrayInTable(Fertiliser_SourceData.Fertiliser_Products_Data2(), FertiliserProducts[[#Headers],[Company]],31)</f>
        <v>China</v>
      </c>
      <c r="K138" s="148" cm="1">
        <f t="array" ref="K138">Common_InputFunctions.Utility_DisplayArrayInTable(Fertiliser_SourceData.Fertiliser_Products_Data2(), FertiliserProducts[[#Headers],[Company]],31)</f>
        <v>32</v>
      </c>
      <c r="L138" s="148" t="str" cm="1">
        <f t="array" ref="L138">Common_InputFunctions.Utility_DisplayArrayInTable(Fertiliser_SourceData.Fertiliser_Products_Data2(), FertiliserProducts[[#Headers],[Company]],31)</f>
        <v/>
      </c>
      <c r="M138" s="148" t="str" cm="1">
        <f t="array" ref="M138">Common_InputFunctions.Utility_DisplayArrayInTable(Fertiliser_SourceData.Fertiliser_Products_Data2(), FertiliserProducts[[#Headers],[Company]],31)</f>
        <v/>
      </c>
      <c r="N138" s="148" t="str" cm="1">
        <f t="array" ref="N138">Common_InputFunctions.Utility_DisplayArrayInTable(Fertiliser_SourceData.Fertiliser_Products_Data2(), FertiliserProducts[[#Headers],[Company]],31)</f>
        <v/>
      </c>
      <c r="O138" s="148" t="str" cm="1">
        <f t="array" ref="O138">Common_InputFunctions.Utility_DisplayArrayInTable(Fertiliser_SourceData.Fertiliser_Products_Data2(), FertiliserProducts[[#Headers],[Company]],31)</f>
        <v>Urea-ammonium nitrate (UAN)</v>
      </c>
      <c r="P138" s="148" cm="1">
        <f t="array" ref="P138">Common_InputFunctions.Utility_DisplayArrayInTable(Fertiliser_SourceData.Fertiliser_Products_Data2(), FertiliserProducts[[#Headers],[Company]],31)</f>
        <v>1</v>
      </c>
      <c r="Q138" s="148" t="str" cm="1">
        <f t="array" ref="Q138">Common_InputFunctions.Utility_DisplayArrayInTable(Fertiliser_SourceData.Fertiliser_Products_Data2(), FertiliserProducts[[#Headers],[Company]],31)</f>
        <v/>
      </c>
      <c r="R138" s="148" t="str" cm="1">
        <f t="array" ref="R138">Common_InputFunctions.Utility_DisplayArrayInTable(Fertiliser_SourceData.Fertiliser_Products_Data2(), FertiliserProducts[[#Headers],[Company]],31)</f>
        <v/>
      </c>
      <c r="S138" s="148" t="str" cm="1">
        <f t="array" ref="S138">Common_InputFunctions.Utility_DisplayArrayInTable(Fertiliser_SourceData.Fertiliser_Products_Data2(), FertiliserProducts[[#Headers],[Company]],31)</f>
        <v/>
      </c>
      <c r="T138" s="148" t="str" cm="1">
        <f t="array" ref="T138">Common_InputFunctions.Utility_DisplayArrayInTable(Fertiliser_SourceData.Fertiliser_Products_Data2(), FertiliserProducts[[#Headers],[Company]],31)</f>
        <v/>
      </c>
      <c r="U138" s="148" t="str" cm="1">
        <f t="array" ref="U138">Common_InputFunctions.Utility_DisplayArrayInTable(Fertiliser_SourceData.Fertiliser_Products_Data2(), FertiliserProducts[[#Headers],[Company]],31)</f>
        <v/>
      </c>
      <c r="V138" s="148" t="str" cm="1">
        <f t="array" ref="V138">Common_InputFunctions.Utility_DisplayArrayInTable(Fertiliser_SourceData.Fertiliser_Products_Data2(), FertiliserProducts[[#Headers],[Company]],31)</f>
        <v/>
      </c>
      <c r="W138" s="148" t="str" cm="1">
        <f t="array" ref="W138">Common_InputFunctions.Utility_DisplayArrayInTable(Fertiliser_SourceData.Fertiliser_Products_Data2(), FertiliserProducts[[#Headers],[Company]],31)</f>
        <v/>
      </c>
      <c r="X138" s="148" t="str" cm="1">
        <f t="array" ref="X138">Common_InputFunctions.Utility_DisplayArrayInTable(Fertiliser_SourceData.Fertiliser_Products_Data2(), FertiliserProducts[[#Headers],[Company]],31)</f>
        <v/>
      </c>
      <c r="Y138" s="148" t="str" cm="1">
        <f t="array" ref="Y138">Common_InputFunctions.Utility_DisplayArrayInTable(Fertiliser_SourceData.Fertiliser_Products_Data2(), FertiliserProducts[[#Headers],[Company]],31)</f>
        <v/>
      </c>
      <c r="Z138" s="148" t="str" cm="1">
        <f t="array" ref="Z138">Common_InputFunctions.Utility_DisplayArrayInTable(Fertiliser_SourceData.Fertiliser_Products_Data2(), FertiliserProducts[[#Headers],[Company]],31)</f>
        <v/>
      </c>
      <c r="AA138" s="148" t="str" cm="1">
        <f t="array" ref="AA138">Common_InputFunctions.Utility_DisplayArrayInTable(Fertiliser_SourceData.Fertiliser_Products_Data2(), FertiliserProducts[[#Headers],[Company]],31)</f>
        <v/>
      </c>
      <c r="AB138" s="148" t="str" cm="1">
        <f t="array" ref="AB138">Common_InputFunctions.Utility_DisplayArrayInTable(Fertiliser_SourceData.Fertiliser_Products_Data2(), FertiliserProducts[[#Headers],[Company]],31)</f>
        <v/>
      </c>
      <c r="AC138" s="148" t="str" cm="1">
        <f t="array" ref="AC138">Common_InputFunctions.Utility_DisplayArrayInTable(Fertiliser_SourceData.Fertiliser_Products_Data2(), FertiliserProducts[[#Headers],[Company]],31)</f>
        <v/>
      </c>
      <c r="AD138" s="148" t="str" cm="1">
        <f t="array" ref="AD138">Common_InputFunctions.Utility_DisplayArrayInTable(Fertiliser_SourceData.Fertiliser_Products_Data2(), FertiliserProducts[[#Headers],[Company]],31)</f>
        <v/>
      </c>
      <c r="AE138" s="148" t="str" cm="1">
        <f t="array" ref="AE138">Common_InputFunctions.Utility_DisplayArrayInTable(Fertiliser_SourceData.Fertiliser_Products_Data2(), FertiliserProducts[[#Headers],[Company]],31)</f>
        <v/>
      </c>
      <c r="AF138" s="148" t="str" cm="1">
        <f t="array" ref="AF138">Common_InputFunctions.Utility_DisplayArrayInTable(Fertiliser_SourceData.Fertiliser_Products_Data2(), FertiliserProducts[[#Headers],[Company]],31)</f>
        <v/>
      </c>
      <c r="AG138" s="148" t="str" cm="1">
        <f t="array" ref="AG138">Common_InputFunctions.Utility_DisplayArrayInTable(Fertiliser_SourceData.Fertiliser_Products_Data2(), FertiliserProducts[[#Headers],[Company]],31)</f>
        <v/>
      </c>
      <c r="AH138" s="148" t="str" cm="1">
        <f t="array" ref="AH138">Common_InputFunctions.Utility_DisplayArrayInTable(Fertiliser_SourceData.Fertiliser_Products_Data2(), FertiliserProducts[[#Headers],[Company]],31)</f>
        <v/>
      </c>
      <c r="AK138" s="1"/>
      <c r="AL138" s="1"/>
      <c r="AM138" s="1"/>
    </row>
    <row r="139" spans="4:39" ht="20.100000000000001" customHeight="1" x14ac:dyDescent="0.2">
      <c r="D139" s="148" t="str" cm="1">
        <f t="array" ref="D139">Common_InputFunctions.Utility_DisplayArrayInTable(Fertiliser_SourceData.Fertiliser_Products_Data2(), FertiliserProducts[[#Headers],[Company]],31)</f>
        <v>Risso-Chemical</v>
      </c>
      <c r="E139" s="148" t="str" cm="1">
        <f t="array" ref="E139">Common_InputFunctions.Utility_DisplayArrayInTable(Fertiliser_SourceData.Fertiliser_Products_Data2(), FertiliserProducts[[#Headers],[Company]],31)</f>
        <v>Polypeptide Urea</v>
      </c>
      <c r="F139" s="148" t="str" cm="1">
        <f t="array" ref="F139">Common_InputFunctions.Utility_DisplayArrayInTable(Fertiliser_SourceData.Fertiliser_Products_Data2(), FertiliserProducts[[#Headers],[Company]],31)</f>
        <v>kg</v>
      </c>
      <c r="G139" s="148" cm="1">
        <f t="array" ref="G139">Common_InputFunctions.Utility_DisplayArrayInTable(Fertiliser_SourceData.Fertiliser_Products_Data2(), FertiliserProducts[[#Headers],[Company]],31)</f>
        <v>1</v>
      </c>
      <c r="H139" s="148" t="str" cm="1">
        <f t="array" ref="H139">Common_InputFunctions.Utility_DisplayArrayInTable(Fertiliser_SourceData.Fertiliser_Products_Data2(), FertiliserProducts[[#Headers],[Company]],31)</f>
        <v/>
      </c>
      <c r="I139" s="148" t="str" cm="1">
        <f t="array" ref="I139">Common_InputFunctions.Utility_DisplayArrayInTable(Fertiliser_SourceData.Fertiliser_Products_Data2(), FertiliserProducts[[#Headers],[Company]],31)</f>
        <v>China</v>
      </c>
      <c r="J139" s="148" t="str" cm="1">
        <f t="array" ref="J139">Common_InputFunctions.Utility_DisplayArrayInTable(Fertiliser_SourceData.Fertiliser_Products_Data2(), FertiliserProducts[[#Headers],[Company]],31)</f>
        <v/>
      </c>
      <c r="K139" s="148" cm="1">
        <f t="array" ref="K139">Common_InputFunctions.Utility_DisplayArrayInTable(Fertiliser_SourceData.Fertiliser_Products_Data2(), FertiliserProducts[[#Headers],[Company]],31)</f>
        <v>46</v>
      </c>
      <c r="L139" s="148" t="str" cm="1">
        <f t="array" ref="L139">Common_InputFunctions.Utility_DisplayArrayInTable(Fertiliser_SourceData.Fertiliser_Products_Data2(), FertiliserProducts[[#Headers],[Company]],31)</f>
        <v/>
      </c>
      <c r="M139" s="148" t="str" cm="1">
        <f t="array" ref="M139">Common_InputFunctions.Utility_DisplayArrayInTable(Fertiliser_SourceData.Fertiliser_Products_Data2(), FertiliserProducts[[#Headers],[Company]],31)</f>
        <v/>
      </c>
      <c r="N139" s="148" t="str" cm="1">
        <f t="array" ref="N139">Common_InputFunctions.Utility_DisplayArrayInTable(Fertiliser_SourceData.Fertiliser_Products_Data2(), FertiliserProducts[[#Headers],[Company]],31)</f>
        <v/>
      </c>
      <c r="O139" s="148" t="str" cm="1">
        <f t="array" ref="O139">Common_InputFunctions.Utility_DisplayArrayInTable(Fertiliser_SourceData.Fertiliser_Products_Data2(), FertiliserProducts[[#Headers],[Company]],31)</f>
        <v>Urea</v>
      </c>
      <c r="P139" s="148" cm="1">
        <f t="array" ref="P139">Common_InputFunctions.Utility_DisplayArrayInTable(Fertiliser_SourceData.Fertiliser_Products_Data2(), FertiliserProducts[[#Headers],[Company]],31)</f>
        <v>1</v>
      </c>
      <c r="Q139" s="148" t="str" cm="1">
        <f t="array" ref="Q139">Common_InputFunctions.Utility_DisplayArrayInTable(Fertiliser_SourceData.Fertiliser_Products_Data2(), FertiliserProducts[[#Headers],[Company]],31)</f>
        <v>Polypeptide (amino acids)</v>
      </c>
      <c r="R139" s="148" cm="1">
        <f t="array" ref="R139">Common_InputFunctions.Utility_DisplayArrayInTable(Fertiliser_SourceData.Fertiliser_Products_Data2(), FertiliserProducts[[#Headers],[Company]],31)</f>
        <v>0</v>
      </c>
      <c r="S139" s="148" t="str" cm="1">
        <f t="array" ref="S139">Common_InputFunctions.Utility_DisplayArrayInTable(Fertiliser_SourceData.Fertiliser_Products_Data2(), FertiliserProducts[[#Headers],[Company]],31)</f>
        <v/>
      </c>
      <c r="T139" s="148" t="str" cm="1">
        <f t="array" ref="T139">Common_InputFunctions.Utility_DisplayArrayInTable(Fertiliser_SourceData.Fertiliser_Products_Data2(), FertiliserProducts[[#Headers],[Company]],31)</f>
        <v/>
      </c>
      <c r="U139" s="148" t="str" cm="1">
        <f t="array" ref="U139">Common_InputFunctions.Utility_DisplayArrayInTable(Fertiliser_SourceData.Fertiliser_Products_Data2(), FertiliserProducts[[#Headers],[Company]],31)</f>
        <v/>
      </c>
      <c r="V139" s="148" t="str" cm="1">
        <f t="array" ref="V139">Common_InputFunctions.Utility_DisplayArrayInTable(Fertiliser_SourceData.Fertiliser_Products_Data2(), FertiliserProducts[[#Headers],[Company]],31)</f>
        <v/>
      </c>
      <c r="W139" s="148" t="str" cm="1">
        <f t="array" ref="W139">Common_InputFunctions.Utility_DisplayArrayInTable(Fertiliser_SourceData.Fertiliser_Products_Data2(), FertiliserProducts[[#Headers],[Company]],31)</f>
        <v/>
      </c>
      <c r="X139" s="148" t="str" cm="1">
        <f t="array" ref="X139">Common_InputFunctions.Utility_DisplayArrayInTable(Fertiliser_SourceData.Fertiliser_Products_Data2(), FertiliserProducts[[#Headers],[Company]],31)</f>
        <v/>
      </c>
      <c r="Y139" s="148" t="str" cm="1">
        <f t="array" ref="Y139">Common_InputFunctions.Utility_DisplayArrayInTable(Fertiliser_SourceData.Fertiliser_Products_Data2(), FertiliserProducts[[#Headers],[Company]],31)</f>
        <v/>
      </c>
      <c r="Z139" s="148" t="str" cm="1">
        <f t="array" ref="Z139">Common_InputFunctions.Utility_DisplayArrayInTable(Fertiliser_SourceData.Fertiliser_Products_Data2(), FertiliserProducts[[#Headers],[Company]],31)</f>
        <v/>
      </c>
      <c r="AA139" s="148" t="str" cm="1">
        <f t="array" ref="AA139">Common_InputFunctions.Utility_DisplayArrayInTable(Fertiliser_SourceData.Fertiliser_Products_Data2(), FertiliserProducts[[#Headers],[Company]],31)</f>
        <v/>
      </c>
      <c r="AB139" s="148" t="str" cm="1">
        <f t="array" ref="AB139">Common_InputFunctions.Utility_DisplayArrayInTable(Fertiliser_SourceData.Fertiliser_Products_Data2(), FertiliserProducts[[#Headers],[Company]],31)</f>
        <v/>
      </c>
      <c r="AC139" s="148" t="str" cm="1">
        <f t="array" ref="AC139">Common_InputFunctions.Utility_DisplayArrayInTable(Fertiliser_SourceData.Fertiliser_Products_Data2(), FertiliserProducts[[#Headers],[Company]],31)</f>
        <v/>
      </c>
      <c r="AD139" s="148" t="str" cm="1">
        <f t="array" ref="AD139">Common_InputFunctions.Utility_DisplayArrayInTable(Fertiliser_SourceData.Fertiliser_Products_Data2(), FertiliserProducts[[#Headers],[Company]],31)</f>
        <v/>
      </c>
      <c r="AE139" s="148" t="str" cm="1">
        <f t="array" ref="AE139">Common_InputFunctions.Utility_DisplayArrayInTable(Fertiliser_SourceData.Fertiliser_Products_Data2(), FertiliserProducts[[#Headers],[Company]],31)</f>
        <v/>
      </c>
      <c r="AF139" s="148" t="str" cm="1">
        <f t="array" ref="AF139">Common_InputFunctions.Utility_DisplayArrayInTable(Fertiliser_SourceData.Fertiliser_Products_Data2(), FertiliserProducts[[#Headers],[Company]],31)</f>
        <v/>
      </c>
      <c r="AG139" s="148" t="str" cm="1">
        <f t="array" ref="AG139">Common_InputFunctions.Utility_DisplayArrayInTable(Fertiliser_SourceData.Fertiliser_Products_Data2(), FertiliserProducts[[#Headers],[Company]],31)</f>
        <v/>
      </c>
      <c r="AH139" s="148" t="str" cm="1">
        <f t="array" ref="AH139">Common_InputFunctions.Utility_DisplayArrayInTable(Fertiliser_SourceData.Fertiliser_Products_Data2(), FertiliserProducts[[#Headers],[Company]],31)</f>
        <v/>
      </c>
      <c r="AK139" s="1"/>
      <c r="AL139" s="1"/>
      <c r="AM139" s="1"/>
    </row>
    <row r="140" spans="4:39" ht="20.100000000000001" customHeight="1" x14ac:dyDescent="0.2">
      <c r="D140" s="148" t="str" cm="1">
        <f t="array" ref="D140">Common_InputFunctions.Utility_DisplayArrayInTable(Fertiliser_SourceData.Fertiliser_Products_Data2(), FertiliserProducts[[#Headers],[Company]],31)</f>
        <v>Yara Australia</v>
      </c>
      <c r="E140" s="148" t="str" cm="1">
        <f t="array" ref="E140">Common_InputFunctions.Utility_DisplayArrayInTable(Fertiliser_SourceData.Fertiliser_Products_Data2(), FertiliserProducts[[#Headers],[Company]],31)</f>
        <v>YaraTera CALCINIT</v>
      </c>
      <c r="F140" s="148" t="str" cm="1">
        <f t="array" ref="F140">Common_InputFunctions.Utility_DisplayArrayInTable(Fertiliser_SourceData.Fertiliser_Products_Data2(), FertiliserProducts[[#Headers],[Company]],31)</f>
        <v>kg</v>
      </c>
      <c r="G140" s="148" cm="1">
        <f t="array" ref="G140">Common_InputFunctions.Utility_DisplayArrayInTable(Fertiliser_SourceData.Fertiliser_Products_Data2(), FertiliserProducts[[#Headers],[Company]],31)</f>
        <v>1</v>
      </c>
      <c r="H140" s="148" t="str" cm="1">
        <f t="array" ref="H140">Common_InputFunctions.Utility_DisplayArrayInTable(Fertiliser_SourceData.Fertiliser_Products_Data2(), FertiliserProducts[[#Headers],[Company]],31)</f>
        <v/>
      </c>
      <c r="I140" s="148" t="str" cm="1">
        <f t="array" ref="I140">Common_InputFunctions.Utility_DisplayArrayInTable(Fertiliser_SourceData.Fertiliser_Products_Data2(), FertiliserProducts[[#Headers],[Company]],31)</f>
        <v/>
      </c>
      <c r="J140" s="148" t="str" cm="1">
        <f t="array" ref="J140">Common_InputFunctions.Utility_DisplayArrayInTable(Fertiliser_SourceData.Fertiliser_Products_Data2(), FertiliserProducts[[#Headers],[Company]],31)</f>
        <v/>
      </c>
      <c r="K140" s="148" cm="1">
        <f t="array" ref="K140">Common_InputFunctions.Utility_DisplayArrayInTable(Fertiliser_SourceData.Fertiliser_Products_Data2(), FertiliserProducts[[#Headers],[Company]],31)</f>
        <v>15.5</v>
      </c>
      <c r="L140" s="148" t="str" cm="1">
        <f t="array" ref="L140">Common_InputFunctions.Utility_DisplayArrayInTable(Fertiliser_SourceData.Fertiliser_Products_Data2(), FertiliserProducts[[#Headers],[Company]],31)</f>
        <v/>
      </c>
      <c r="M140" s="148" t="str" cm="1">
        <f t="array" ref="M140">Common_InputFunctions.Utility_DisplayArrayInTable(Fertiliser_SourceData.Fertiliser_Products_Data2(), FertiliserProducts[[#Headers],[Company]],31)</f>
        <v/>
      </c>
      <c r="N140" s="148" t="str" cm="1">
        <f t="array" ref="N140">Common_InputFunctions.Utility_DisplayArrayInTable(Fertiliser_SourceData.Fertiliser_Products_Data2(), FertiliserProducts[[#Headers],[Company]],31)</f>
        <v/>
      </c>
      <c r="O140" s="148" t="str" cm="1">
        <f t="array" ref="O140">Common_InputFunctions.Utility_DisplayArrayInTable(Fertiliser_SourceData.Fertiliser_Products_Data2(), FertiliserProducts[[#Headers],[Company]],31)</f>
        <v>Calcium nitrate</v>
      </c>
      <c r="P140" s="148" cm="1">
        <f t="array" ref="P140">Common_InputFunctions.Utility_DisplayArrayInTable(Fertiliser_SourceData.Fertiliser_Products_Data2(), FertiliserProducts[[#Headers],[Company]],31)</f>
        <v>1</v>
      </c>
      <c r="Q140" s="148" t="str" cm="1">
        <f t="array" ref="Q140">Common_InputFunctions.Utility_DisplayArrayInTable(Fertiliser_SourceData.Fertiliser_Products_Data2(), FertiliserProducts[[#Headers],[Company]],31)</f>
        <v/>
      </c>
      <c r="R140" s="148" t="str" cm="1">
        <f t="array" ref="R140">Common_InputFunctions.Utility_DisplayArrayInTable(Fertiliser_SourceData.Fertiliser_Products_Data2(), FertiliserProducts[[#Headers],[Company]],31)</f>
        <v/>
      </c>
      <c r="S140" s="148" t="str" cm="1">
        <f t="array" ref="S140">Common_InputFunctions.Utility_DisplayArrayInTable(Fertiliser_SourceData.Fertiliser_Products_Data2(), FertiliserProducts[[#Headers],[Company]],31)</f>
        <v/>
      </c>
      <c r="T140" s="148" t="str" cm="1">
        <f t="array" ref="T140">Common_InputFunctions.Utility_DisplayArrayInTable(Fertiliser_SourceData.Fertiliser_Products_Data2(), FertiliserProducts[[#Headers],[Company]],31)</f>
        <v/>
      </c>
      <c r="U140" s="148" t="str" cm="1">
        <f t="array" ref="U140">Common_InputFunctions.Utility_DisplayArrayInTable(Fertiliser_SourceData.Fertiliser_Products_Data2(), FertiliserProducts[[#Headers],[Company]],31)</f>
        <v/>
      </c>
      <c r="V140" s="148" t="str" cm="1">
        <f t="array" ref="V140">Common_InputFunctions.Utility_DisplayArrayInTable(Fertiliser_SourceData.Fertiliser_Products_Data2(), FertiliserProducts[[#Headers],[Company]],31)</f>
        <v/>
      </c>
      <c r="W140" s="148" t="str" cm="1">
        <f t="array" ref="W140">Common_InputFunctions.Utility_DisplayArrayInTable(Fertiliser_SourceData.Fertiliser_Products_Data2(), FertiliserProducts[[#Headers],[Company]],31)</f>
        <v/>
      </c>
      <c r="X140" s="148" t="str" cm="1">
        <f t="array" ref="X140">Common_InputFunctions.Utility_DisplayArrayInTable(Fertiliser_SourceData.Fertiliser_Products_Data2(), FertiliserProducts[[#Headers],[Company]],31)</f>
        <v/>
      </c>
      <c r="Y140" s="148" t="str" cm="1">
        <f t="array" ref="Y140">Common_InputFunctions.Utility_DisplayArrayInTable(Fertiliser_SourceData.Fertiliser_Products_Data2(), FertiliserProducts[[#Headers],[Company]],31)</f>
        <v/>
      </c>
      <c r="Z140" s="148" t="str" cm="1">
        <f t="array" ref="Z140">Common_InputFunctions.Utility_DisplayArrayInTable(Fertiliser_SourceData.Fertiliser_Products_Data2(), FertiliserProducts[[#Headers],[Company]],31)</f>
        <v/>
      </c>
      <c r="AA140" s="148" t="str" cm="1">
        <f t="array" ref="AA140">Common_InputFunctions.Utility_DisplayArrayInTable(Fertiliser_SourceData.Fertiliser_Products_Data2(), FertiliserProducts[[#Headers],[Company]],31)</f>
        <v/>
      </c>
      <c r="AB140" s="148" t="str" cm="1">
        <f t="array" ref="AB140">Common_InputFunctions.Utility_DisplayArrayInTable(Fertiliser_SourceData.Fertiliser_Products_Data2(), FertiliserProducts[[#Headers],[Company]],31)</f>
        <v/>
      </c>
      <c r="AC140" s="148" t="str" cm="1">
        <f t="array" ref="AC140">Common_InputFunctions.Utility_DisplayArrayInTable(Fertiliser_SourceData.Fertiliser_Products_Data2(), FertiliserProducts[[#Headers],[Company]],31)</f>
        <v/>
      </c>
      <c r="AD140" s="148" t="str" cm="1">
        <f t="array" ref="AD140">Common_InputFunctions.Utility_DisplayArrayInTable(Fertiliser_SourceData.Fertiliser_Products_Data2(), FertiliserProducts[[#Headers],[Company]],31)</f>
        <v/>
      </c>
      <c r="AE140" s="148" t="str" cm="1">
        <f t="array" ref="AE140">Common_InputFunctions.Utility_DisplayArrayInTable(Fertiliser_SourceData.Fertiliser_Products_Data2(), FertiliserProducts[[#Headers],[Company]],31)</f>
        <v/>
      </c>
      <c r="AF140" s="148" t="str" cm="1">
        <f t="array" ref="AF140">Common_InputFunctions.Utility_DisplayArrayInTable(Fertiliser_SourceData.Fertiliser_Products_Data2(), FertiliserProducts[[#Headers],[Company]],31)</f>
        <v/>
      </c>
      <c r="AG140" s="148" t="str" cm="1">
        <f t="array" ref="AG140">Common_InputFunctions.Utility_DisplayArrayInTable(Fertiliser_SourceData.Fertiliser_Products_Data2(), FertiliserProducts[[#Headers],[Company]],31)</f>
        <v/>
      </c>
      <c r="AH140" s="148" t="str" cm="1">
        <f t="array" ref="AH140">Common_InputFunctions.Utility_DisplayArrayInTable(Fertiliser_SourceData.Fertiliser_Products_Data2(), FertiliserProducts[[#Headers],[Company]],31)</f>
        <v/>
      </c>
      <c r="AK140" s="1"/>
      <c r="AL140" s="1"/>
      <c r="AM140" s="1"/>
    </row>
    <row r="141" spans="4:39" ht="20.100000000000001" customHeight="1" x14ac:dyDescent="0.2">
      <c r="D141" s="148" t="str" cm="1">
        <f t="array" ref="D141">Common_InputFunctions.Utility_DisplayArrayInTable(Fertiliser_SourceData.Fertiliser_Products_Data2(), FertiliserProducts[[#Headers],[Company]],31)</f>
        <v>Yara Australia</v>
      </c>
      <c r="E141" s="148" t="str" cm="1">
        <f t="array" ref="E141">Common_InputFunctions.Utility_DisplayArrayInTable(Fertiliser_SourceData.Fertiliser_Products_Data2(), FertiliserProducts[[#Headers],[Company]],31)</f>
        <v>YaraLiva NITRABOR</v>
      </c>
      <c r="F141" s="148" t="str" cm="1">
        <f t="array" ref="F141">Common_InputFunctions.Utility_DisplayArrayInTable(Fertiliser_SourceData.Fertiliser_Products_Data2(), FertiliserProducts[[#Headers],[Company]],31)</f>
        <v>kg</v>
      </c>
      <c r="G141" s="148" cm="1">
        <f t="array" ref="G141">Common_InputFunctions.Utility_DisplayArrayInTable(Fertiliser_SourceData.Fertiliser_Products_Data2(), FertiliserProducts[[#Headers],[Company]],31)</f>
        <v>1</v>
      </c>
      <c r="H141" s="148" t="str" cm="1">
        <f t="array" ref="H141">Common_InputFunctions.Utility_DisplayArrayInTable(Fertiliser_SourceData.Fertiliser_Products_Data2(), FertiliserProducts[[#Headers],[Company]],31)</f>
        <v/>
      </c>
      <c r="I141" s="148" t="str" cm="1">
        <f t="array" ref="I141">Common_InputFunctions.Utility_DisplayArrayInTable(Fertiliser_SourceData.Fertiliser_Products_Data2(), FertiliserProducts[[#Headers],[Company]],31)</f>
        <v/>
      </c>
      <c r="J141" s="148" t="str" cm="1">
        <f t="array" ref="J141">Common_InputFunctions.Utility_DisplayArrayInTable(Fertiliser_SourceData.Fertiliser_Products_Data2(), FertiliserProducts[[#Headers],[Company]],31)</f>
        <v/>
      </c>
      <c r="K141" s="148" cm="1">
        <f t="array" ref="K141">Common_InputFunctions.Utility_DisplayArrayInTable(Fertiliser_SourceData.Fertiliser_Products_Data2(), FertiliserProducts[[#Headers],[Company]],31)</f>
        <v>15.4</v>
      </c>
      <c r="L141" s="148" t="str" cm="1">
        <f t="array" ref="L141">Common_InputFunctions.Utility_DisplayArrayInTable(Fertiliser_SourceData.Fertiliser_Products_Data2(), FertiliserProducts[[#Headers],[Company]],31)</f>
        <v/>
      </c>
      <c r="M141" s="148" t="str" cm="1">
        <f t="array" ref="M141">Common_InputFunctions.Utility_DisplayArrayInTable(Fertiliser_SourceData.Fertiliser_Products_Data2(), FertiliserProducts[[#Headers],[Company]],31)</f>
        <v/>
      </c>
      <c r="N141" s="148" t="str" cm="1">
        <f t="array" ref="N141">Common_InputFunctions.Utility_DisplayArrayInTable(Fertiliser_SourceData.Fertiliser_Products_Data2(), FertiliserProducts[[#Headers],[Company]],31)</f>
        <v/>
      </c>
      <c r="O141" s="148" t="str" cm="1">
        <f t="array" ref="O141">Common_InputFunctions.Utility_DisplayArrayInTable(Fertiliser_SourceData.Fertiliser_Products_Data2(), FertiliserProducts[[#Headers],[Company]],31)</f>
        <v>Calcium nitrate</v>
      </c>
      <c r="P141" s="148" cm="1">
        <f t="array" ref="P141">Common_InputFunctions.Utility_DisplayArrayInTable(Fertiliser_SourceData.Fertiliser_Products_Data2(), FertiliserProducts[[#Headers],[Company]],31)</f>
        <v>0.99354799999999999</v>
      </c>
      <c r="Q141" s="148" t="str" cm="1">
        <f t="array" ref="Q141">Common_InputFunctions.Utility_DisplayArrayInTable(Fertiliser_SourceData.Fertiliser_Products_Data2(), FertiliserProducts[[#Headers],[Company]],31)</f>
        <v>Boron</v>
      </c>
      <c r="R141" s="148" cm="1">
        <f t="array" ref="R141">Common_InputFunctions.Utility_DisplayArrayInTable(Fertiliser_SourceData.Fertiliser_Products_Data2(), FertiliserProducts[[#Headers],[Company]],31)</f>
        <v>3.0000000000000001E-3</v>
      </c>
      <c r="S141" s="148" t="str" cm="1">
        <f t="array" ref="S141">Common_InputFunctions.Utility_DisplayArrayInTable(Fertiliser_SourceData.Fertiliser_Products_Data2(), FertiliserProducts[[#Headers],[Company]],31)</f>
        <v/>
      </c>
      <c r="T141" s="148" t="str" cm="1">
        <f t="array" ref="T141">Common_InputFunctions.Utility_DisplayArrayInTable(Fertiliser_SourceData.Fertiliser_Products_Data2(), FertiliserProducts[[#Headers],[Company]],31)</f>
        <v/>
      </c>
      <c r="U141" s="148" t="str" cm="1">
        <f t="array" ref="U141">Common_InputFunctions.Utility_DisplayArrayInTable(Fertiliser_SourceData.Fertiliser_Products_Data2(), FertiliserProducts[[#Headers],[Company]],31)</f>
        <v/>
      </c>
      <c r="V141" s="148" t="str" cm="1">
        <f t="array" ref="V141">Common_InputFunctions.Utility_DisplayArrayInTable(Fertiliser_SourceData.Fertiliser_Products_Data2(), FertiliserProducts[[#Headers],[Company]],31)</f>
        <v/>
      </c>
      <c r="W141" s="148" t="str" cm="1">
        <f t="array" ref="W141">Common_InputFunctions.Utility_DisplayArrayInTable(Fertiliser_SourceData.Fertiliser_Products_Data2(), FertiliserProducts[[#Headers],[Company]],31)</f>
        <v/>
      </c>
      <c r="X141" s="148" t="str" cm="1">
        <f t="array" ref="X141">Common_InputFunctions.Utility_DisplayArrayInTable(Fertiliser_SourceData.Fertiliser_Products_Data2(), FertiliserProducts[[#Headers],[Company]],31)</f>
        <v/>
      </c>
      <c r="Y141" s="148" t="str" cm="1">
        <f t="array" ref="Y141">Common_InputFunctions.Utility_DisplayArrayInTable(Fertiliser_SourceData.Fertiliser_Products_Data2(), FertiliserProducts[[#Headers],[Company]],31)</f>
        <v/>
      </c>
      <c r="Z141" s="148" t="str" cm="1">
        <f t="array" ref="Z141">Common_InputFunctions.Utility_DisplayArrayInTable(Fertiliser_SourceData.Fertiliser_Products_Data2(), FertiliserProducts[[#Headers],[Company]],31)</f>
        <v/>
      </c>
      <c r="AA141" s="148" t="str" cm="1">
        <f t="array" ref="AA141">Common_InputFunctions.Utility_DisplayArrayInTable(Fertiliser_SourceData.Fertiliser_Products_Data2(), FertiliserProducts[[#Headers],[Company]],31)</f>
        <v/>
      </c>
      <c r="AB141" s="148" t="str" cm="1">
        <f t="array" ref="AB141">Common_InputFunctions.Utility_DisplayArrayInTable(Fertiliser_SourceData.Fertiliser_Products_Data2(), FertiliserProducts[[#Headers],[Company]],31)</f>
        <v/>
      </c>
      <c r="AC141" s="148" t="str" cm="1">
        <f t="array" ref="AC141">Common_InputFunctions.Utility_DisplayArrayInTable(Fertiliser_SourceData.Fertiliser_Products_Data2(), FertiliserProducts[[#Headers],[Company]],31)</f>
        <v/>
      </c>
      <c r="AD141" s="148" t="str" cm="1">
        <f t="array" ref="AD141">Common_InputFunctions.Utility_DisplayArrayInTable(Fertiliser_SourceData.Fertiliser_Products_Data2(), FertiliserProducts[[#Headers],[Company]],31)</f>
        <v/>
      </c>
      <c r="AE141" s="148" t="str" cm="1">
        <f t="array" ref="AE141">Common_InputFunctions.Utility_DisplayArrayInTable(Fertiliser_SourceData.Fertiliser_Products_Data2(), FertiliserProducts[[#Headers],[Company]],31)</f>
        <v/>
      </c>
      <c r="AF141" s="148" t="str" cm="1">
        <f t="array" ref="AF141">Common_InputFunctions.Utility_DisplayArrayInTable(Fertiliser_SourceData.Fertiliser_Products_Data2(), FertiliserProducts[[#Headers],[Company]],31)</f>
        <v/>
      </c>
      <c r="AG141" s="148" t="str" cm="1">
        <f t="array" ref="AG141">Common_InputFunctions.Utility_DisplayArrayInTable(Fertiliser_SourceData.Fertiliser_Products_Data2(), FertiliserProducts[[#Headers],[Company]],31)</f>
        <v/>
      </c>
      <c r="AH141" s="148" t="str" cm="1">
        <f t="array" ref="AH141">Common_InputFunctions.Utility_DisplayArrayInTable(Fertiliser_SourceData.Fertiliser_Products_Data2(), FertiliserProducts[[#Headers],[Company]],31)</f>
        <v/>
      </c>
      <c r="AK141" s="1"/>
      <c r="AL141" s="1"/>
      <c r="AM141" s="1"/>
    </row>
    <row r="142" spans="4:39" ht="20.100000000000001" customHeight="1" x14ac:dyDescent="0.2">
      <c r="D142" s="148" t="str" cm="1">
        <f t="array" ref="D142">Common_InputFunctions.Utility_DisplayArrayInTable(Fertiliser_SourceData.Fertiliser_Products_Data2(), FertiliserProducts[[#Headers],[Company]],31)</f>
        <v>Yara Australia</v>
      </c>
      <c r="E142" s="148" t="str" cm="1">
        <f t="array" ref="E142">Common_InputFunctions.Utility_DisplayArrayInTable(Fertiliser_SourceData.Fertiliser_Products_Data2(), FertiliserProducts[[#Headers],[Company]],31)</f>
        <v>YaraMila COMPLEX</v>
      </c>
      <c r="F142" s="148" t="str" cm="1">
        <f t="array" ref="F142">Common_InputFunctions.Utility_DisplayArrayInTable(Fertiliser_SourceData.Fertiliser_Products_Data2(), FertiliserProducts[[#Headers],[Company]],31)</f>
        <v>kg</v>
      </c>
      <c r="G142" s="148" cm="1">
        <f t="array" ref="G142">Common_InputFunctions.Utility_DisplayArrayInTable(Fertiliser_SourceData.Fertiliser_Products_Data2(), FertiliserProducts[[#Headers],[Company]],31)</f>
        <v>1</v>
      </c>
      <c r="H142" s="148" t="str" cm="1">
        <f t="array" ref="H142">Common_InputFunctions.Utility_DisplayArrayInTable(Fertiliser_SourceData.Fertiliser_Products_Data2(), FertiliserProducts[[#Headers],[Company]],31)</f>
        <v/>
      </c>
      <c r="I142" s="148" t="str" cm="1">
        <f t="array" ref="I142">Common_InputFunctions.Utility_DisplayArrayInTable(Fertiliser_SourceData.Fertiliser_Products_Data2(), FertiliserProducts[[#Headers],[Company]],31)</f>
        <v/>
      </c>
      <c r="J142" s="148" t="str" cm="1">
        <f t="array" ref="J142">Common_InputFunctions.Utility_DisplayArrayInTable(Fertiliser_SourceData.Fertiliser_Products_Data2(), FertiliserProducts[[#Headers],[Company]],31)</f>
        <v/>
      </c>
      <c r="K142" s="148" cm="1">
        <f t="array" ref="K142">Common_InputFunctions.Utility_DisplayArrayInTable(Fertiliser_SourceData.Fertiliser_Products_Data2(), FertiliserProducts[[#Headers],[Company]],31)</f>
        <v>12</v>
      </c>
      <c r="L142" s="148" cm="1">
        <f t="array" ref="L142">Common_InputFunctions.Utility_DisplayArrayInTable(Fertiliser_SourceData.Fertiliser_Products_Data2(), FertiliserProducts[[#Headers],[Company]],31)</f>
        <v>5</v>
      </c>
      <c r="M142" s="148" cm="1">
        <f t="array" ref="M142">Common_InputFunctions.Utility_DisplayArrayInTable(Fertiliser_SourceData.Fertiliser_Products_Data2(), FertiliserProducts[[#Headers],[Company]],31)</f>
        <v>15</v>
      </c>
      <c r="N142" s="148" cm="1">
        <f t="array" ref="N142">Common_InputFunctions.Utility_DisplayArrayInTable(Fertiliser_SourceData.Fertiliser_Products_Data2(), FertiliserProducts[[#Headers],[Company]],31)</f>
        <v>8</v>
      </c>
      <c r="O142" s="148" t="str" cm="1">
        <f t="array" ref="O142">Common_InputFunctions.Utility_DisplayArrayInTable(Fertiliser_SourceData.Fertiliser_Products_Data2(), FertiliserProducts[[#Headers],[Company]],31)</f>
        <v>Nitrogen - Nitrate</v>
      </c>
      <c r="P142" s="148" cm="1">
        <f t="array" ref="P142">Common_InputFunctions.Utility_DisplayArrayInTable(Fertiliser_SourceData.Fertiliser_Products_Data2(), FertiliserProducts[[#Headers],[Company]],31)</f>
        <v>0.05</v>
      </c>
      <c r="Q142" s="148" t="str" cm="1">
        <f t="array" ref="Q142">Common_InputFunctions.Utility_DisplayArrayInTable(Fertiliser_SourceData.Fertiliser_Products_Data2(), FertiliserProducts[[#Headers],[Company]],31)</f>
        <v>Nitrogen - Ammoniacal</v>
      </c>
      <c r="R142" s="148" cm="1">
        <f t="array" ref="R142">Common_InputFunctions.Utility_DisplayArrayInTable(Fertiliser_SourceData.Fertiliser_Products_Data2(), FertiliserProducts[[#Headers],[Company]],31)</f>
        <v>7.0000000000000007E-2</v>
      </c>
      <c r="S142" s="148" t="str" cm="1">
        <f t="array" ref="S142">Common_InputFunctions.Utility_DisplayArrayInTable(Fertiliser_SourceData.Fertiliser_Products_Data2(), FertiliserProducts[[#Headers],[Company]],31)</f>
        <v>Phosphorus - Generic</v>
      </c>
      <c r="T142" s="148" cm="1">
        <f t="array" ref="T142">Common_InputFunctions.Utility_DisplayArrayInTable(Fertiliser_SourceData.Fertiliser_Products_Data2(), FertiliserProducts[[#Headers],[Company]],31)</f>
        <v>0.05</v>
      </c>
      <c r="U142" s="148" t="str" cm="1">
        <f t="array" ref="U142">Common_InputFunctions.Utility_DisplayArrayInTable(Fertiliser_SourceData.Fertiliser_Products_Data2(), FertiliserProducts[[#Headers],[Company]],31)</f>
        <v>Potassium - Generic</v>
      </c>
      <c r="V142" s="148" cm="1">
        <f t="array" ref="V142">Common_InputFunctions.Utility_DisplayArrayInTable(Fertiliser_SourceData.Fertiliser_Products_Data2(), FertiliserProducts[[#Headers],[Company]],31)</f>
        <v>0.15</v>
      </c>
      <c r="W142" s="148" t="str" cm="1">
        <f t="array" ref="W142">Common_InputFunctions.Utility_DisplayArrayInTable(Fertiliser_SourceData.Fertiliser_Products_Data2(), FertiliserProducts[[#Headers],[Company]],31)</f>
        <v>Sulfur - Generic</v>
      </c>
      <c r="X142" s="148" cm="1">
        <f t="array" ref="X142">Common_InputFunctions.Utility_DisplayArrayInTable(Fertiliser_SourceData.Fertiliser_Products_Data2(), FertiliserProducts[[#Headers],[Company]],31)</f>
        <v>0.08</v>
      </c>
      <c r="Y142" s="148" t="str" cm="1">
        <f t="array" ref="Y142">Common_InputFunctions.Utility_DisplayArrayInTable(Fertiliser_SourceData.Fertiliser_Products_Data2(), FertiliserProducts[[#Headers],[Company]],31)</f>
        <v>Magnesium</v>
      </c>
      <c r="Z142" s="148" cm="1">
        <f t="array" ref="Z142">Common_InputFunctions.Utility_DisplayArrayInTable(Fertiliser_SourceData.Fertiliser_Products_Data2(), FertiliserProducts[[#Headers],[Company]],31)</f>
        <v>1.6E-2</v>
      </c>
      <c r="AA142" s="148" t="str" cm="1">
        <f t="array" ref="AA142">Common_InputFunctions.Utility_DisplayArrayInTable(Fertiliser_SourceData.Fertiliser_Products_Data2(), FertiliserProducts[[#Headers],[Company]],31)</f>
        <v>Zinc</v>
      </c>
      <c r="AB142" s="148" cm="1">
        <f t="array" ref="AB142">Common_InputFunctions.Utility_DisplayArrayInTable(Fertiliser_SourceData.Fertiliser_Products_Data2(), FertiliserProducts[[#Headers],[Company]],31)</f>
        <v>2.0000000000000001E-4</v>
      </c>
      <c r="AC142" s="148" t="str" cm="1">
        <f t="array" ref="AC142">Common_InputFunctions.Utility_DisplayArrayInTable(Fertiliser_SourceData.Fertiliser_Products_Data2(), FertiliserProducts[[#Headers],[Company]],31)</f>
        <v>Boron</v>
      </c>
      <c r="AD142" s="148" cm="1">
        <f t="array" ref="AD142">Common_InputFunctions.Utility_DisplayArrayInTable(Fertiliser_SourceData.Fertiliser_Products_Data2(), FertiliserProducts[[#Headers],[Company]],31)</f>
        <v>1.4999999999999999E-4</v>
      </c>
      <c r="AE142" s="148" t="str" cm="1">
        <f t="array" ref="AE142">Common_InputFunctions.Utility_DisplayArrayInTable(Fertiliser_SourceData.Fertiliser_Products_Data2(), FertiliserProducts[[#Headers],[Company]],31)</f>
        <v/>
      </c>
      <c r="AF142" s="148" t="str" cm="1">
        <f t="array" ref="AF142">Common_InputFunctions.Utility_DisplayArrayInTable(Fertiliser_SourceData.Fertiliser_Products_Data2(), FertiliserProducts[[#Headers],[Company]],31)</f>
        <v/>
      </c>
      <c r="AG142" s="148" t="str" cm="1">
        <f t="array" ref="AG142">Common_InputFunctions.Utility_DisplayArrayInTable(Fertiliser_SourceData.Fertiliser_Products_Data2(), FertiliserProducts[[#Headers],[Company]],31)</f>
        <v/>
      </c>
      <c r="AH142" s="148" t="str" cm="1">
        <f t="array" ref="AH142">Common_InputFunctions.Utility_DisplayArrayInTable(Fertiliser_SourceData.Fertiliser_Products_Data2(), FertiliserProducts[[#Headers],[Company]],31)</f>
        <v/>
      </c>
      <c r="AK142" s="1"/>
      <c r="AL142" s="1"/>
      <c r="AM142" s="1"/>
    </row>
    <row r="143" spans="4:39" ht="20.100000000000001" customHeight="1" x14ac:dyDescent="0.2">
      <c r="D143" s="148" t="str" cm="1">
        <f t="array" ref="D143">Common_InputFunctions.Utility_DisplayArrayInTable(Fertiliser_SourceData.Fertiliser_Products_Data2(), FertiliserProducts[[#Headers],[Company]],31)</f>
        <v>Yara Australia</v>
      </c>
      <c r="E143" s="148" t="str" cm="1">
        <f t="array" ref="E143">Common_InputFunctions.Utility_DisplayArrayInTable(Fertiliser_SourceData.Fertiliser_Products_Data2(), FertiliserProducts[[#Headers],[Company]],31)</f>
        <v>YaraRega 9-0-30 (14)</v>
      </c>
      <c r="F143" s="148" t="str" cm="1">
        <f t="array" ref="F143">Common_InputFunctions.Utility_DisplayArrayInTable(Fertiliser_SourceData.Fertiliser_Products_Data2(), FertiliserProducts[[#Headers],[Company]],31)</f>
        <v>kg</v>
      </c>
      <c r="G143" s="148" cm="1">
        <f t="array" ref="G143">Common_InputFunctions.Utility_DisplayArrayInTable(Fertiliser_SourceData.Fertiliser_Products_Data2(), FertiliserProducts[[#Headers],[Company]],31)</f>
        <v>1</v>
      </c>
      <c r="H143" s="148" t="str" cm="1">
        <f t="array" ref="H143">Common_InputFunctions.Utility_DisplayArrayInTable(Fertiliser_SourceData.Fertiliser_Products_Data2(), FertiliserProducts[[#Headers],[Company]],31)</f>
        <v/>
      </c>
      <c r="I143" s="148" t="str" cm="1">
        <f t="array" ref="I143">Common_InputFunctions.Utility_DisplayArrayInTable(Fertiliser_SourceData.Fertiliser_Products_Data2(), FertiliserProducts[[#Headers],[Company]],31)</f>
        <v/>
      </c>
      <c r="J143" s="148" t="str" cm="1">
        <f t="array" ref="J143">Common_InputFunctions.Utility_DisplayArrayInTable(Fertiliser_SourceData.Fertiliser_Products_Data2(), FertiliserProducts[[#Headers],[Company]],31)</f>
        <v/>
      </c>
      <c r="K143" s="148" cm="1">
        <f t="array" ref="K143">Common_InputFunctions.Utility_DisplayArrayInTable(Fertiliser_SourceData.Fertiliser_Products_Data2(), FertiliserProducts[[#Headers],[Company]],31)</f>
        <v>9</v>
      </c>
      <c r="L143" s="148" t="str" cm="1">
        <f t="array" ref="L143">Common_InputFunctions.Utility_DisplayArrayInTable(Fertiliser_SourceData.Fertiliser_Products_Data2(), FertiliserProducts[[#Headers],[Company]],31)</f>
        <v/>
      </c>
      <c r="M143" s="148" cm="1">
        <f t="array" ref="M143">Common_InputFunctions.Utility_DisplayArrayInTable(Fertiliser_SourceData.Fertiliser_Products_Data2(), FertiliserProducts[[#Headers],[Company]],31)</f>
        <v>30</v>
      </c>
      <c r="N143" s="148" cm="1">
        <f t="array" ref="N143">Common_InputFunctions.Utility_DisplayArrayInTable(Fertiliser_SourceData.Fertiliser_Products_Data2(), FertiliserProducts[[#Headers],[Company]],31)</f>
        <v>14</v>
      </c>
      <c r="O143" s="148" t="str" cm="1">
        <f t="array" ref="O143">Common_InputFunctions.Utility_DisplayArrayInTable(Fertiliser_SourceData.Fertiliser_Products_Data2(), FertiliserProducts[[#Headers],[Company]],31)</f>
        <v>Potassium - Generic</v>
      </c>
      <c r="P143" s="148" cm="1">
        <f t="array" ref="P143">Common_InputFunctions.Utility_DisplayArrayInTable(Fertiliser_SourceData.Fertiliser_Products_Data2(), FertiliserProducts[[#Headers],[Company]],31)</f>
        <v>0.3</v>
      </c>
      <c r="Q143" s="148" t="str" cm="1">
        <f t="array" ref="Q143">Common_InputFunctions.Utility_DisplayArrayInTable(Fertiliser_SourceData.Fertiliser_Products_Data2(), FertiliserProducts[[#Headers],[Company]],31)</f>
        <v>Sulfur - Generic</v>
      </c>
      <c r="R143" s="148" cm="1">
        <f t="array" ref="R143">Common_InputFunctions.Utility_DisplayArrayInTable(Fertiliser_SourceData.Fertiliser_Products_Data2(), FertiliserProducts[[#Headers],[Company]],31)</f>
        <v>0.14000000000000001</v>
      </c>
      <c r="S143" s="148" t="str" cm="1">
        <f t="array" ref="S143">Common_InputFunctions.Utility_DisplayArrayInTable(Fertiliser_SourceData.Fertiliser_Products_Data2(), FertiliserProducts[[#Headers],[Company]],31)</f>
        <v>Nitrogen - Nitrate</v>
      </c>
      <c r="T143" s="148" cm="1">
        <f t="array" ref="T143">Common_InputFunctions.Utility_DisplayArrayInTable(Fertiliser_SourceData.Fertiliser_Products_Data2(), FertiliserProducts[[#Headers],[Company]],31)</f>
        <v>4.4999999999999998E-2</v>
      </c>
      <c r="U143" s="148" t="str" cm="1">
        <f t="array" ref="U143">Common_InputFunctions.Utility_DisplayArrayInTable(Fertiliser_SourceData.Fertiliser_Products_Data2(), FertiliserProducts[[#Headers],[Company]],31)</f>
        <v>Nitrogen - Ammoniacal</v>
      </c>
      <c r="V143" s="148" cm="1">
        <f t="array" ref="V143">Common_InputFunctions.Utility_DisplayArrayInTable(Fertiliser_SourceData.Fertiliser_Products_Data2(), FertiliserProducts[[#Headers],[Company]],31)</f>
        <v>4.4999999999999998E-2</v>
      </c>
      <c r="W143" s="148" t="str" cm="1">
        <f t="array" ref="W143">Common_InputFunctions.Utility_DisplayArrayInTable(Fertiliser_SourceData.Fertiliser_Products_Data2(), FertiliserProducts[[#Headers],[Company]],31)</f>
        <v/>
      </c>
      <c r="X143" s="148" t="str" cm="1">
        <f t="array" ref="X143">Common_InputFunctions.Utility_DisplayArrayInTable(Fertiliser_SourceData.Fertiliser_Products_Data2(), FertiliserProducts[[#Headers],[Company]],31)</f>
        <v/>
      </c>
      <c r="Y143" s="148" t="str" cm="1">
        <f t="array" ref="Y143">Common_InputFunctions.Utility_DisplayArrayInTable(Fertiliser_SourceData.Fertiliser_Products_Data2(), FertiliserProducts[[#Headers],[Company]],31)</f>
        <v/>
      </c>
      <c r="Z143" s="148" t="str" cm="1">
        <f t="array" ref="Z143">Common_InputFunctions.Utility_DisplayArrayInTable(Fertiliser_SourceData.Fertiliser_Products_Data2(), FertiliserProducts[[#Headers],[Company]],31)</f>
        <v/>
      </c>
      <c r="AA143" s="148" t="str" cm="1">
        <f t="array" ref="AA143">Common_InputFunctions.Utility_DisplayArrayInTable(Fertiliser_SourceData.Fertiliser_Products_Data2(), FertiliserProducts[[#Headers],[Company]],31)</f>
        <v/>
      </c>
      <c r="AB143" s="148" t="str" cm="1">
        <f t="array" ref="AB143">Common_InputFunctions.Utility_DisplayArrayInTable(Fertiliser_SourceData.Fertiliser_Products_Data2(), FertiliserProducts[[#Headers],[Company]],31)</f>
        <v/>
      </c>
      <c r="AC143" s="148" t="str" cm="1">
        <f t="array" ref="AC143">Common_InputFunctions.Utility_DisplayArrayInTable(Fertiliser_SourceData.Fertiliser_Products_Data2(), FertiliserProducts[[#Headers],[Company]],31)</f>
        <v/>
      </c>
      <c r="AD143" s="148" t="str" cm="1">
        <f t="array" ref="AD143">Common_InputFunctions.Utility_DisplayArrayInTable(Fertiliser_SourceData.Fertiliser_Products_Data2(), FertiliserProducts[[#Headers],[Company]],31)</f>
        <v/>
      </c>
      <c r="AE143" s="148" t="str" cm="1">
        <f t="array" ref="AE143">Common_InputFunctions.Utility_DisplayArrayInTable(Fertiliser_SourceData.Fertiliser_Products_Data2(), FertiliserProducts[[#Headers],[Company]],31)</f>
        <v/>
      </c>
      <c r="AF143" s="148" t="str" cm="1">
        <f t="array" ref="AF143">Common_InputFunctions.Utility_DisplayArrayInTable(Fertiliser_SourceData.Fertiliser_Products_Data2(), FertiliserProducts[[#Headers],[Company]],31)</f>
        <v/>
      </c>
      <c r="AG143" s="148" t="str" cm="1">
        <f t="array" ref="AG143">Common_InputFunctions.Utility_DisplayArrayInTable(Fertiliser_SourceData.Fertiliser_Products_Data2(), FertiliserProducts[[#Headers],[Company]],31)</f>
        <v/>
      </c>
      <c r="AH143" s="148" t="str" cm="1">
        <f t="array" ref="AH143">Common_InputFunctions.Utility_DisplayArrayInTable(Fertiliser_SourceData.Fertiliser_Products_Data2(), FertiliserProducts[[#Headers],[Company]],31)</f>
        <v/>
      </c>
      <c r="AK143" s="1"/>
      <c r="AL143" s="1"/>
      <c r="AM143" s="1"/>
    </row>
    <row r="144" spans="4:39" ht="20.100000000000001" customHeight="1" x14ac:dyDescent="0.2">
      <c r="D144" s="148" t="str" cm="1">
        <f t="array" ref="D144">Common_InputFunctions.Utility_DisplayArrayInTable(Fertiliser_SourceData.Fertiliser_Products_Data2(), FertiliserProducts[[#Headers],[Company]],31)</f>
        <v>Yara Australia</v>
      </c>
      <c r="E144" s="148" t="str" cm="1">
        <f t="array" ref="E144">Common_InputFunctions.Utility_DisplayArrayInTable(Fertiliser_SourceData.Fertiliser_Products_Data2(), FertiliserProducts[[#Headers],[Company]],31)</f>
        <v>YaraRega 13-2-21</v>
      </c>
      <c r="F144" s="148" t="str" cm="1">
        <f t="array" ref="F144">Common_InputFunctions.Utility_DisplayArrayInTable(Fertiliser_SourceData.Fertiliser_Products_Data2(), FertiliserProducts[[#Headers],[Company]],31)</f>
        <v>kg</v>
      </c>
      <c r="G144" s="148" cm="1">
        <f t="array" ref="G144">Common_InputFunctions.Utility_DisplayArrayInTable(Fertiliser_SourceData.Fertiliser_Products_Data2(), FertiliserProducts[[#Headers],[Company]],31)</f>
        <v>1</v>
      </c>
      <c r="H144" s="148" t="str" cm="1">
        <f t="array" ref="H144">Common_InputFunctions.Utility_DisplayArrayInTable(Fertiliser_SourceData.Fertiliser_Products_Data2(), FertiliserProducts[[#Headers],[Company]],31)</f>
        <v/>
      </c>
      <c r="I144" s="148" t="str" cm="1">
        <f t="array" ref="I144">Common_InputFunctions.Utility_DisplayArrayInTable(Fertiliser_SourceData.Fertiliser_Products_Data2(), FertiliserProducts[[#Headers],[Company]],31)</f>
        <v/>
      </c>
      <c r="J144" s="148" t="str" cm="1">
        <f t="array" ref="J144">Common_InputFunctions.Utility_DisplayArrayInTable(Fertiliser_SourceData.Fertiliser_Products_Data2(), FertiliserProducts[[#Headers],[Company]],31)</f>
        <v/>
      </c>
      <c r="K144" s="148" cm="1">
        <f t="array" ref="K144">Common_InputFunctions.Utility_DisplayArrayInTable(Fertiliser_SourceData.Fertiliser_Products_Data2(), FertiliserProducts[[#Headers],[Company]],31)</f>
        <v>13</v>
      </c>
      <c r="L144" s="148" cm="1">
        <f t="array" ref="L144">Common_InputFunctions.Utility_DisplayArrayInTable(Fertiliser_SourceData.Fertiliser_Products_Data2(), FertiliserProducts[[#Headers],[Company]],31)</f>
        <v>1.75</v>
      </c>
      <c r="M144" s="148" cm="1">
        <f t="array" ref="M144">Common_InputFunctions.Utility_DisplayArrayInTable(Fertiliser_SourceData.Fertiliser_Products_Data2(), FertiliserProducts[[#Headers],[Company]],31)</f>
        <v>21</v>
      </c>
      <c r="N144" s="148" cm="1">
        <f t="array" ref="N144">Common_InputFunctions.Utility_DisplayArrayInTable(Fertiliser_SourceData.Fertiliser_Products_Data2(), FertiliserProducts[[#Headers],[Company]],31)</f>
        <v>10.8</v>
      </c>
      <c r="O144" s="148" t="str" cm="1">
        <f t="array" ref="O144">Common_InputFunctions.Utility_DisplayArrayInTable(Fertiliser_SourceData.Fertiliser_Products_Data2(), FertiliserProducts[[#Headers],[Company]],31)</f>
        <v>Potassium - Generic</v>
      </c>
      <c r="P144" s="148" cm="1">
        <f t="array" ref="P144">Common_InputFunctions.Utility_DisplayArrayInTable(Fertiliser_SourceData.Fertiliser_Products_Data2(), FertiliserProducts[[#Headers],[Company]],31)</f>
        <v>0.21</v>
      </c>
      <c r="Q144" s="148" t="str" cm="1">
        <f t="array" ref="Q144">Common_InputFunctions.Utility_DisplayArrayInTable(Fertiliser_SourceData.Fertiliser_Products_Data2(), FertiliserProducts[[#Headers],[Company]],31)</f>
        <v>Sulfur - Generic</v>
      </c>
      <c r="R144" s="148" cm="1">
        <f t="array" ref="R144">Common_InputFunctions.Utility_DisplayArrayInTable(Fertiliser_SourceData.Fertiliser_Products_Data2(), FertiliserProducts[[#Headers],[Company]],31)</f>
        <v>0.108</v>
      </c>
      <c r="S144" s="148" t="str" cm="1">
        <f t="array" ref="S144">Common_InputFunctions.Utility_DisplayArrayInTable(Fertiliser_SourceData.Fertiliser_Products_Data2(), FertiliserProducts[[#Headers],[Company]],31)</f>
        <v>Nitrogen - Ammoniacal</v>
      </c>
      <c r="T144" s="148" cm="1">
        <f t="array" ref="T144">Common_InputFunctions.Utility_DisplayArrayInTable(Fertiliser_SourceData.Fertiliser_Products_Data2(), FertiliserProducts[[#Headers],[Company]],31)</f>
        <v>7.6999999999999999E-2</v>
      </c>
      <c r="U144" s="148" t="str" cm="1">
        <f t="array" ref="U144">Common_InputFunctions.Utility_DisplayArrayInTable(Fertiliser_SourceData.Fertiliser_Products_Data2(), FertiliserProducts[[#Headers],[Company]],31)</f>
        <v>Nitrogen - Nitrate</v>
      </c>
      <c r="V144" s="148" cm="1">
        <f t="array" ref="V144">Common_InputFunctions.Utility_DisplayArrayInTable(Fertiliser_SourceData.Fertiliser_Products_Data2(), FertiliserProducts[[#Headers],[Company]],31)</f>
        <v>5.2999999999999999E-2</v>
      </c>
      <c r="W144" s="148" t="str" cm="1">
        <f t="array" ref="W144">Common_InputFunctions.Utility_DisplayArrayInTable(Fertiliser_SourceData.Fertiliser_Products_Data2(), FertiliserProducts[[#Headers],[Company]],31)</f>
        <v>Phosphorus - Generic</v>
      </c>
      <c r="X144" s="148" cm="1">
        <f t="array" ref="X144">Common_InputFunctions.Utility_DisplayArrayInTable(Fertiliser_SourceData.Fertiliser_Products_Data2(), FertiliserProducts[[#Headers],[Company]],31)</f>
        <v>1.7500000000000002E-2</v>
      </c>
      <c r="Y144" s="148" t="str" cm="1">
        <f t="array" ref="Y144">Common_InputFunctions.Utility_DisplayArrayInTable(Fertiliser_SourceData.Fertiliser_Products_Data2(), FertiliserProducts[[#Headers],[Company]],31)</f>
        <v>Magnesium</v>
      </c>
      <c r="Z144" s="148" cm="1">
        <f t="array" ref="Z144">Common_InputFunctions.Utility_DisplayArrayInTable(Fertiliser_SourceData.Fertiliser_Products_Data2(), FertiliserProducts[[#Headers],[Company]],31)</f>
        <v>4.0000000000000001E-3</v>
      </c>
      <c r="AA144" s="148" t="str" cm="1">
        <f t="array" ref="AA144">Common_InputFunctions.Utility_DisplayArrayInTable(Fertiliser_SourceData.Fertiliser_Products_Data2(), FertiliserProducts[[#Headers],[Company]],31)</f>
        <v>Zinc</v>
      </c>
      <c r="AB144" s="148" cm="1">
        <f t="array" ref="AB144">Common_InputFunctions.Utility_DisplayArrayInTable(Fertiliser_SourceData.Fertiliser_Products_Data2(), FertiliserProducts[[#Headers],[Company]],31)</f>
        <v>8.0000000000000004E-4</v>
      </c>
      <c r="AC144" s="148" t="str" cm="1">
        <f t="array" ref="AC144">Common_InputFunctions.Utility_DisplayArrayInTable(Fertiliser_SourceData.Fertiliser_Products_Data2(), FertiliserProducts[[#Headers],[Company]],31)</f>
        <v>Boron</v>
      </c>
      <c r="AD144" s="148" cm="1">
        <f t="array" ref="AD144">Common_InputFunctions.Utility_DisplayArrayInTable(Fertiliser_SourceData.Fertiliser_Products_Data2(), FertiliserProducts[[#Headers],[Company]],31)</f>
        <v>8.0000000000000004E-4</v>
      </c>
      <c r="AE144" s="148" t="str" cm="1">
        <f t="array" ref="AE144">Common_InputFunctions.Utility_DisplayArrayInTable(Fertiliser_SourceData.Fertiliser_Products_Data2(), FertiliserProducts[[#Headers],[Company]],31)</f>
        <v/>
      </c>
      <c r="AF144" s="148" t="str" cm="1">
        <f t="array" ref="AF144">Common_InputFunctions.Utility_DisplayArrayInTable(Fertiliser_SourceData.Fertiliser_Products_Data2(), FertiliserProducts[[#Headers],[Company]],31)</f>
        <v/>
      </c>
      <c r="AG144" s="148" t="str" cm="1">
        <f t="array" ref="AG144">Common_InputFunctions.Utility_DisplayArrayInTable(Fertiliser_SourceData.Fertiliser_Products_Data2(), FertiliserProducts[[#Headers],[Company]],31)</f>
        <v/>
      </c>
      <c r="AH144" s="148" t="str" cm="1">
        <f t="array" ref="AH144">Common_InputFunctions.Utility_DisplayArrayInTable(Fertiliser_SourceData.Fertiliser_Products_Data2(), FertiliserProducts[[#Headers],[Company]],31)</f>
        <v/>
      </c>
      <c r="AK144" s="1"/>
      <c r="AL144" s="1"/>
      <c r="AM144" s="1"/>
    </row>
    <row r="145" spans="1:39" ht="20.100000000000001" customHeight="1" x14ac:dyDescent="0.2">
      <c r="D145" s="148" t="str" cm="1">
        <f t="array" ref="D145">Common_InputFunctions.Utility_DisplayArrayInTable(Fertiliser_SourceData.Fertiliser_Products_Data2(), FertiliserProducts[[#Headers],[Company]],31)</f>
        <v>Yara Australia</v>
      </c>
      <c r="E145" s="148" t="str" cm="1">
        <f t="array" ref="E145">Common_InputFunctions.Utility_DisplayArrayInTable(Fertiliser_SourceData.Fertiliser_Products_Data2(), FertiliserProducts[[#Headers],[Company]],31)</f>
        <v>YaraRega 15-7-13 (7S)</v>
      </c>
      <c r="F145" s="148" t="str" cm="1">
        <f t="array" ref="F145">Common_InputFunctions.Utility_DisplayArrayInTable(Fertiliser_SourceData.Fertiliser_Products_Data2(), FertiliserProducts[[#Headers],[Company]],31)</f>
        <v>kg</v>
      </c>
      <c r="G145" s="148" cm="1">
        <f t="array" ref="G145">Common_InputFunctions.Utility_DisplayArrayInTable(Fertiliser_SourceData.Fertiliser_Products_Data2(), FertiliserProducts[[#Headers],[Company]],31)</f>
        <v>1</v>
      </c>
      <c r="H145" s="148" t="str" cm="1">
        <f t="array" ref="H145">Common_InputFunctions.Utility_DisplayArrayInTable(Fertiliser_SourceData.Fertiliser_Products_Data2(), FertiliserProducts[[#Headers],[Company]],31)</f>
        <v/>
      </c>
      <c r="I145" s="148" t="str" cm="1">
        <f t="array" ref="I145">Common_InputFunctions.Utility_DisplayArrayInTable(Fertiliser_SourceData.Fertiliser_Products_Data2(), FertiliserProducts[[#Headers],[Company]],31)</f>
        <v/>
      </c>
      <c r="J145" s="148" t="str" cm="1">
        <f t="array" ref="J145">Common_InputFunctions.Utility_DisplayArrayInTable(Fertiliser_SourceData.Fertiliser_Products_Data2(), FertiliserProducts[[#Headers],[Company]],31)</f>
        <v/>
      </c>
      <c r="K145" s="148" cm="1">
        <f t="array" ref="K145">Common_InputFunctions.Utility_DisplayArrayInTable(Fertiliser_SourceData.Fertiliser_Products_Data2(), FertiliserProducts[[#Headers],[Company]],31)</f>
        <v>15</v>
      </c>
      <c r="L145" s="148" cm="1">
        <f t="array" ref="L145">Common_InputFunctions.Utility_DisplayArrayInTable(Fertiliser_SourceData.Fertiliser_Products_Data2(), FertiliserProducts[[#Headers],[Company]],31)</f>
        <v>6.5</v>
      </c>
      <c r="M145" s="148" cm="1">
        <f t="array" ref="M145">Common_InputFunctions.Utility_DisplayArrayInTable(Fertiliser_SourceData.Fertiliser_Products_Data2(), FertiliserProducts[[#Headers],[Company]],31)</f>
        <v>12.5</v>
      </c>
      <c r="N145" s="148" cm="1">
        <f t="array" ref="N145">Common_InputFunctions.Utility_DisplayArrayInTable(Fertiliser_SourceData.Fertiliser_Products_Data2(), FertiliserProducts[[#Headers],[Company]],31)</f>
        <v>7.2</v>
      </c>
      <c r="O145" s="148" t="str" cm="1">
        <f t="array" ref="O145">Common_InputFunctions.Utility_DisplayArrayInTable(Fertiliser_SourceData.Fertiliser_Products_Data2(), FertiliserProducts[[#Headers],[Company]],31)</f>
        <v>Nitrogen - Nitrate</v>
      </c>
      <c r="P145" s="148" cm="1">
        <f t="array" ref="P145">Common_InputFunctions.Utility_DisplayArrayInTable(Fertiliser_SourceData.Fertiliser_Products_Data2(), FertiliserProducts[[#Headers],[Company]],31)</f>
        <v>9.5000000000000001E-2</v>
      </c>
      <c r="Q145" s="148" t="str" cm="1">
        <f t="array" ref="Q145">Common_InputFunctions.Utility_DisplayArrayInTable(Fertiliser_SourceData.Fertiliser_Products_Data2(), FertiliserProducts[[#Headers],[Company]],31)</f>
        <v>Potassium - Generic</v>
      </c>
      <c r="R145" s="148" cm="1">
        <f t="array" ref="R145">Common_InputFunctions.Utility_DisplayArrayInTable(Fertiliser_SourceData.Fertiliser_Products_Data2(), FertiliserProducts[[#Headers],[Company]],31)</f>
        <v>0.125</v>
      </c>
      <c r="S145" s="148" t="str" cm="1">
        <f t="array" ref="S145">Common_InputFunctions.Utility_DisplayArrayInTable(Fertiliser_SourceData.Fertiliser_Products_Data2(), FertiliserProducts[[#Headers],[Company]],31)</f>
        <v>Sulfur - Generic</v>
      </c>
      <c r="T145" s="148" cm="1">
        <f t="array" ref="T145">Common_InputFunctions.Utility_DisplayArrayInTable(Fertiliser_SourceData.Fertiliser_Products_Data2(), FertiliserProducts[[#Headers],[Company]],31)</f>
        <v>7.1999999999999995E-2</v>
      </c>
      <c r="U145" s="148" t="str" cm="1">
        <f t="array" ref="U145">Common_InputFunctions.Utility_DisplayArrayInTable(Fertiliser_SourceData.Fertiliser_Products_Data2(), FertiliserProducts[[#Headers],[Company]],31)</f>
        <v>Phosphorus - Generic</v>
      </c>
      <c r="V145" s="148" cm="1">
        <f t="array" ref="V145">Common_InputFunctions.Utility_DisplayArrayInTable(Fertiliser_SourceData.Fertiliser_Products_Data2(), FertiliserProducts[[#Headers],[Company]],31)</f>
        <v>6.5000000000000002E-2</v>
      </c>
      <c r="W145" s="148" t="str" cm="1">
        <f t="array" ref="W145">Common_InputFunctions.Utility_DisplayArrayInTable(Fertiliser_SourceData.Fertiliser_Products_Data2(), FertiliserProducts[[#Headers],[Company]],31)</f>
        <v>Nitrogen - Ammoniacal</v>
      </c>
      <c r="X145" s="148" cm="1">
        <f t="array" ref="X145">Common_InputFunctions.Utility_DisplayArrayInTable(Fertiliser_SourceData.Fertiliser_Products_Data2(), FertiliserProducts[[#Headers],[Company]],31)</f>
        <v>5.5E-2</v>
      </c>
      <c r="Y145" s="148" t="str" cm="1">
        <f t="array" ref="Y145">Common_InputFunctions.Utility_DisplayArrayInTable(Fertiliser_SourceData.Fertiliser_Products_Data2(), FertiliserProducts[[#Headers],[Company]],31)</f>
        <v>Magnesium</v>
      </c>
      <c r="Z145" s="148" cm="1">
        <f t="array" ref="Z145">Common_InputFunctions.Utility_DisplayArrayInTable(Fertiliser_SourceData.Fertiliser_Products_Data2(), FertiliserProducts[[#Headers],[Company]],31)</f>
        <v>6.6E-3</v>
      </c>
      <c r="AA145" s="148" t="str" cm="1">
        <f t="array" ref="AA145">Common_InputFunctions.Utility_DisplayArrayInTable(Fertiliser_SourceData.Fertiliser_Products_Data2(), FertiliserProducts[[#Headers],[Company]],31)</f>
        <v>Boron</v>
      </c>
      <c r="AB145" s="148" cm="1">
        <f t="array" ref="AB145">Common_InputFunctions.Utility_DisplayArrayInTable(Fertiliser_SourceData.Fertiliser_Products_Data2(), FertiliserProducts[[#Headers],[Company]],31)</f>
        <v>1E-3</v>
      </c>
      <c r="AC145" s="148" t="str" cm="1">
        <f t="array" ref="AC145">Common_InputFunctions.Utility_DisplayArrayInTable(Fertiliser_SourceData.Fertiliser_Products_Data2(), FertiliserProducts[[#Headers],[Company]],31)</f>
        <v>Zinc</v>
      </c>
      <c r="AD145" s="148" cm="1">
        <f t="array" ref="AD145">Common_InputFunctions.Utility_DisplayArrayInTable(Fertiliser_SourceData.Fertiliser_Products_Data2(), FertiliserProducts[[#Headers],[Company]],31)</f>
        <v>5.9999999999999995E-4</v>
      </c>
      <c r="AE145" s="148" t="str" cm="1">
        <f t="array" ref="AE145">Common_InputFunctions.Utility_DisplayArrayInTable(Fertiliser_SourceData.Fertiliser_Products_Data2(), FertiliserProducts[[#Headers],[Company]],31)</f>
        <v/>
      </c>
      <c r="AF145" s="148" t="str" cm="1">
        <f t="array" ref="AF145">Common_InputFunctions.Utility_DisplayArrayInTable(Fertiliser_SourceData.Fertiliser_Products_Data2(), FertiliserProducts[[#Headers],[Company]],31)</f>
        <v/>
      </c>
      <c r="AG145" s="148" t="str" cm="1">
        <f t="array" ref="AG145">Common_InputFunctions.Utility_DisplayArrayInTable(Fertiliser_SourceData.Fertiliser_Products_Data2(), FertiliserProducts[[#Headers],[Company]],31)</f>
        <v/>
      </c>
      <c r="AH145" s="148" t="str" cm="1">
        <f t="array" ref="AH145">Common_InputFunctions.Utility_DisplayArrayInTable(Fertiliser_SourceData.Fertiliser_Products_Data2(), FertiliserProducts[[#Headers],[Company]],31)</f>
        <v/>
      </c>
      <c r="AK145" s="1"/>
      <c r="AL145" s="1"/>
      <c r="AM145" s="1"/>
    </row>
    <row r="146" spans="1:39" ht="20.100000000000001" customHeight="1" x14ac:dyDescent="0.2">
      <c r="D146" s="148" t="str" cm="1">
        <f t="array" ref="D146">Common_InputFunctions.Utility_DisplayArrayInTable(Fertiliser_SourceData.Fertiliser_Products_Data2(), FertiliserProducts[[#Headers],[Company]],31)</f>
        <v>Yara Australia</v>
      </c>
      <c r="E146" s="148" t="str" cm="1">
        <f t="array" ref="E146">Common_InputFunctions.Utility_DisplayArrayInTable(Fertiliser_SourceData.Fertiliser_Products_Data2(), FertiliserProducts[[#Headers],[Company]],31)</f>
        <v>YaraTera CALCINIT B</v>
      </c>
      <c r="F146" s="148" t="str" cm="1">
        <f t="array" ref="F146">Common_InputFunctions.Utility_DisplayArrayInTable(Fertiliser_SourceData.Fertiliser_Products_Data2(), FertiliserProducts[[#Headers],[Company]],31)</f>
        <v>kg</v>
      </c>
      <c r="G146" s="148" cm="1">
        <f t="array" ref="G146">Common_InputFunctions.Utility_DisplayArrayInTable(Fertiliser_SourceData.Fertiliser_Products_Data2(), FertiliserProducts[[#Headers],[Company]],31)</f>
        <v>1</v>
      </c>
      <c r="H146" s="148" t="str" cm="1">
        <f t="array" ref="H146">Common_InputFunctions.Utility_DisplayArrayInTable(Fertiliser_SourceData.Fertiliser_Products_Data2(), FertiliserProducts[[#Headers],[Company]],31)</f>
        <v/>
      </c>
      <c r="I146" s="148" t="str" cm="1">
        <f t="array" ref="I146">Common_InputFunctions.Utility_DisplayArrayInTable(Fertiliser_SourceData.Fertiliser_Products_Data2(), FertiliserProducts[[#Headers],[Company]],31)</f>
        <v/>
      </c>
      <c r="J146" s="148" t="str" cm="1">
        <f t="array" ref="J146">Common_InputFunctions.Utility_DisplayArrayInTable(Fertiliser_SourceData.Fertiliser_Products_Data2(), FertiliserProducts[[#Headers],[Company]],31)</f>
        <v/>
      </c>
      <c r="K146" s="148" cm="1">
        <f t="array" ref="K146">Common_InputFunctions.Utility_DisplayArrayInTable(Fertiliser_SourceData.Fertiliser_Products_Data2(), FertiliserProducts[[#Headers],[Company]],31)</f>
        <v>15.5</v>
      </c>
      <c r="L146" s="148" t="str" cm="1">
        <f t="array" ref="L146">Common_InputFunctions.Utility_DisplayArrayInTable(Fertiliser_SourceData.Fertiliser_Products_Data2(), FertiliserProducts[[#Headers],[Company]],31)</f>
        <v/>
      </c>
      <c r="M146" s="148" t="str" cm="1">
        <f t="array" ref="M146">Common_InputFunctions.Utility_DisplayArrayInTable(Fertiliser_SourceData.Fertiliser_Products_Data2(), FertiliserProducts[[#Headers],[Company]],31)</f>
        <v/>
      </c>
      <c r="N146" s="148" t="str" cm="1">
        <f t="array" ref="N146">Common_InputFunctions.Utility_DisplayArrayInTable(Fertiliser_SourceData.Fertiliser_Products_Data2(), FertiliserProducts[[#Headers],[Company]],31)</f>
        <v/>
      </c>
      <c r="O146" s="148" t="str" cm="1">
        <f t="array" ref="O146">Common_InputFunctions.Utility_DisplayArrayInTable(Fertiliser_SourceData.Fertiliser_Products_Data2(), FertiliserProducts[[#Headers],[Company]],31)</f>
        <v>Calcium nitrate</v>
      </c>
      <c r="P146" s="148" cm="1">
        <f t="array" ref="P146">Common_InputFunctions.Utility_DisplayArrayInTable(Fertiliser_SourceData.Fertiliser_Products_Data2(), FertiliserProducts[[#Headers],[Company]],31)</f>
        <v>1</v>
      </c>
      <c r="Q146" s="148" t="str" cm="1">
        <f t="array" ref="Q146">Common_InputFunctions.Utility_DisplayArrayInTable(Fertiliser_SourceData.Fertiliser_Products_Data2(), FertiliserProducts[[#Headers],[Company]],31)</f>
        <v>Boron</v>
      </c>
      <c r="R146" s="148" cm="1">
        <f t="array" ref="R146">Common_InputFunctions.Utility_DisplayArrayInTable(Fertiliser_SourceData.Fertiliser_Products_Data2(), FertiliserProducts[[#Headers],[Company]],31)</f>
        <v>1E-3</v>
      </c>
      <c r="S146" s="148" t="str" cm="1">
        <f t="array" ref="S146">Common_InputFunctions.Utility_DisplayArrayInTable(Fertiliser_SourceData.Fertiliser_Products_Data2(), FertiliserProducts[[#Headers],[Company]],31)</f>
        <v/>
      </c>
      <c r="T146" s="148" t="str" cm="1">
        <f t="array" ref="T146">Common_InputFunctions.Utility_DisplayArrayInTable(Fertiliser_SourceData.Fertiliser_Products_Data2(), FertiliserProducts[[#Headers],[Company]],31)</f>
        <v/>
      </c>
      <c r="U146" s="148" t="str" cm="1">
        <f t="array" ref="U146">Common_InputFunctions.Utility_DisplayArrayInTable(Fertiliser_SourceData.Fertiliser_Products_Data2(), FertiliserProducts[[#Headers],[Company]],31)</f>
        <v/>
      </c>
      <c r="V146" s="148" t="str" cm="1">
        <f t="array" ref="V146">Common_InputFunctions.Utility_DisplayArrayInTable(Fertiliser_SourceData.Fertiliser_Products_Data2(), FertiliserProducts[[#Headers],[Company]],31)</f>
        <v/>
      </c>
      <c r="W146" s="148" t="str" cm="1">
        <f t="array" ref="W146">Common_InputFunctions.Utility_DisplayArrayInTable(Fertiliser_SourceData.Fertiliser_Products_Data2(), FertiliserProducts[[#Headers],[Company]],31)</f>
        <v/>
      </c>
      <c r="X146" s="148" t="str" cm="1">
        <f t="array" ref="X146">Common_InputFunctions.Utility_DisplayArrayInTable(Fertiliser_SourceData.Fertiliser_Products_Data2(), FertiliserProducts[[#Headers],[Company]],31)</f>
        <v/>
      </c>
      <c r="Y146" s="148" t="str" cm="1">
        <f t="array" ref="Y146">Common_InputFunctions.Utility_DisplayArrayInTable(Fertiliser_SourceData.Fertiliser_Products_Data2(), FertiliserProducts[[#Headers],[Company]],31)</f>
        <v/>
      </c>
      <c r="Z146" s="148" t="str" cm="1">
        <f t="array" ref="Z146">Common_InputFunctions.Utility_DisplayArrayInTable(Fertiliser_SourceData.Fertiliser_Products_Data2(), FertiliserProducts[[#Headers],[Company]],31)</f>
        <v/>
      </c>
      <c r="AA146" s="148" t="str" cm="1">
        <f t="array" ref="AA146">Common_InputFunctions.Utility_DisplayArrayInTable(Fertiliser_SourceData.Fertiliser_Products_Data2(), FertiliserProducts[[#Headers],[Company]],31)</f>
        <v/>
      </c>
      <c r="AB146" s="148" t="str" cm="1">
        <f t="array" ref="AB146">Common_InputFunctions.Utility_DisplayArrayInTable(Fertiliser_SourceData.Fertiliser_Products_Data2(), FertiliserProducts[[#Headers],[Company]],31)</f>
        <v/>
      </c>
      <c r="AC146" s="148" t="str" cm="1">
        <f t="array" ref="AC146">Common_InputFunctions.Utility_DisplayArrayInTable(Fertiliser_SourceData.Fertiliser_Products_Data2(), FertiliserProducts[[#Headers],[Company]],31)</f>
        <v/>
      </c>
      <c r="AD146" s="148" t="str" cm="1">
        <f t="array" ref="AD146">Common_InputFunctions.Utility_DisplayArrayInTable(Fertiliser_SourceData.Fertiliser_Products_Data2(), FertiliserProducts[[#Headers],[Company]],31)</f>
        <v/>
      </c>
      <c r="AE146" s="148" t="str" cm="1">
        <f t="array" ref="AE146">Common_InputFunctions.Utility_DisplayArrayInTable(Fertiliser_SourceData.Fertiliser_Products_Data2(), FertiliserProducts[[#Headers],[Company]],31)</f>
        <v/>
      </c>
      <c r="AF146" s="148" t="str" cm="1">
        <f t="array" ref="AF146">Common_InputFunctions.Utility_DisplayArrayInTable(Fertiliser_SourceData.Fertiliser_Products_Data2(), FertiliserProducts[[#Headers],[Company]],31)</f>
        <v/>
      </c>
      <c r="AG146" s="148" t="str" cm="1">
        <f t="array" ref="AG146">Common_InputFunctions.Utility_DisplayArrayInTable(Fertiliser_SourceData.Fertiliser_Products_Data2(), FertiliserProducts[[#Headers],[Company]],31)</f>
        <v/>
      </c>
      <c r="AH146" s="148" t="str" cm="1">
        <f t="array" ref="AH146">Common_InputFunctions.Utility_DisplayArrayInTable(Fertiliser_SourceData.Fertiliser_Products_Data2(), FertiliserProducts[[#Headers],[Company]],31)</f>
        <v/>
      </c>
      <c r="AK146" s="1"/>
      <c r="AL146" s="1"/>
      <c r="AM146" s="1"/>
    </row>
    <row r="147" spans="1:39" ht="20.100000000000001" customHeight="1" x14ac:dyDescent="0.2">
      <c r="D147" s="148" t="str" cm="1">
        <f t="array" ref="D147">Common_InputFunctions.Utility_DisplayArrayInTable(Fertiliser_SourceData.Fertiliser_Products_Data2(), FertiliserProducts[[#Headers],[Company]],31)</f>
        <v>Yara Australia</v>
      </c>
      <c r="E147" s="148" t="str" cm="1">
        <f t="array" ref="E147">Common_InputFunctions.Utility_DisplayArrayInTable(Fertiliser_SourceData.Fertiliser_Products_Data2(), FertiliserProducts[[#Headers],[Company]],31)</f>
        <v>YaraTera KRISTA MAP</v>
      </c>
      <c r="F147" s="148" t="str" cm="1">
        <f t="array" ref="F147">Common_InputFunctions.Utility_DisplayArrayInTable(Fertiliser_SourceData.Fertiliser_Products_Data2(), FertiliserProducts[[#Headers],[Company]],31)</f>
        <v>kg</v>
      </c>
      <c r="G147" s="148" cm="1">
        <f t="array" ref="G147">Common_InputFunctions.Utility_DisplayArrayInTable(Fertiliser_SourceData.Fertiliser_Products_Data2(), FertiliserProducts[[#Headers],[Company]],31)</f>
        <v>1</v>
      </c>
      <c r="H147" s="148" t="str" cm="1">
        <f t="array" ref="H147">Common_InputFunctions.Utility_DisplayArrayInTable(Fertiliser_SourceData.Fertiliser_Products_Data2(), FertiliserProducts[[#Headers],[Company]],31)</f>
        <v/>
      </c>
      <c r="I147" s="148" t="str" cm="1">
        <f t="array" ref="I147">Common_InputFunctions.Utility_DisplayArrayInTable(Fertiliser_SourceData.Fertiliser_Products_Data2(), FertiliserProducts[[#Headers],[Company]],31)</f>
        <v/>
      </c>
      <c r="J147" s="148" t="str" cm="1">
        <f t="array" ref="J147">Common_InputFunctions.Utility_DisplayArrayInTable(Fertiliser_SourceData.Fertiliser_Products_Data2(), FertiliserProducts[[#Headers],[Company]],31)</f>
        <v/>
      </c>
      <c r="K147" s="148" cm="1">
        <f t="array" ref="K147">Common_InputFunctions.Utility_DisplayArrayInTable(Fertiliser_SourceData.Fertiliser_Products_Data2(), FertiliserProducts[[#Headers],[Company]],31)</f>
        <v>10</v>
      </c>
      <c r="L147" s="148" cm="1">
        <f t="array" ref="L147">Common_InputFunctions.Utility_DisplayArrayInTable(Fertiliser_SourceData.Fertiliser_Products_Data2(), FertiliserProducts[[#Headers],[Company]],31)</f>
        <v>21.9</v>
      </c>
      <c r="M147" s="148" t="str" cm="1">
        <f t="array" ref="M147">Common_InputFunctions.Utility_DisplayArrayInTable(Fertiliser_SourceData.Fertiliser_Products_Data2(), FertiliserProducts[[#Headers],[Company]],31)</f>
        <v/>
      </c>
      <c r="N147" s="148" t="str" cm="1">
        <f t="array" ref="N147">Common_InputFunctions.Utility_DisplayArrayInTable(Fertiliser_SourceData.Fertiliser_Products_Data2(), FertiliserProducts[[#Headers],[Company]],31)</f>
        <v/>
      </c>
      <c r="O147" s="148" t="str" cm="1">
        <f t="array" ref="O147">Common_InputFunctions.Utility_DisplayArrayInTable(Fertiliser_SourceData.Fertiliser_Products_Data2(), FertiliserProducts[[#Headers],[Company]],31)</f>
        <v>Monoammonium phosphate (MAP)</v>
      </c>
      <c r="P147" s="148" cm="1">
        <f t="array" ref="P147">Common_InputFunctions.Utility_DisplayArrayInTable(Fertiliser_SourceData.Fertiliser_Products_Data2(), FertiliserProducts[[#Headers],[Company]],31)</f>
        <v>1</v>
      </c>
      <c r="Q147" s="148" t="str" cm="1">
        <f t="array" ref="Q147">Common_InputFunctions.Utility_DisplayArrayInTable(Fertiliser_SourceData.Fertiliser_Products_Data2(), FertiliserProducts[[#Headers],[Company]],31)</f>
        <v/>
      </c>
      <c r="R147" s="148" t="str" cm="1">
        <f t="array" ref="R147">Common_InputFunctions.Utility_DisplayArrayInTable(Fertiliser_SourceData.Fertiliser_Products_Data2(), FertiliserProducts[[#Headers],[Company]],31)</f>
        <v/>
      </c>
      <c r="S147" s="148" t="str" cm="1">
        <f t="array" ref="S147">Common_InputFunctions.Utility_DisplayArrayInTable(Fertiliser_SourceData.Fertiliser_Products_Data2(), FertiliserProducts[[#Headers],[Company]],31)</f>
        <v/>
      </c>
      <c r="T147" s="148" t="str" cm="1">
        <f t="array" ref="T147">Common_InputFunctions.Utility_DisplayArrayInTable(Fertiliser_SourceData.Fertiliser_Products_Data2(), FertiliserProducts[[#Headers],[Company]],31)</f>
        <v/>
      </c>
      <c r="U147" s="148" t="str" cm="1">
        <f t="array" ref="U147">Common_InputFunctions.Utility_DisplayArrayInTable(Fertiliser_SourceData.Fertiliser_Products_Data2(), FertiliserProducts[[#Headers],[Company]],31)</f>
        <v/>
      </c>
      <c r="V147" s="148" t="str" cm="1">
        <f t="array" ref="V147">Common_InputFunctions.Utility_DisplayArrayInTable(Fertiliser_SourceData.Fertiliser_Products_Data2(), FertiliserProducts[[#Headers],[Company]],31)</f>
        <v/>
      </c>
      <c r="W147" s="148" t="str" cm="1">
        <f t="array" ref="W147">Common_InputFunctions.Utility_DisplayArrayInTable(Fertiliser_SourceData.Fertiliser_Products_Data2(), FertiliserProducts[[#Headers],[Company]],31)</f>
        <v/>
      </c>
      <c r="X147" s="148" t="str" cm="1">
        <f t="array" ref="X147">Common_InputFunctions.Utility_DisplayArrayInTable(Fertiliser_SourceData.Fertiliser_Products_Data2(), FertiliserProducts[[#Headers],[Company]],31)</f>
        <v/>
      </c>
      <c r="Y147" s="148" t="str" cm="1">
        <f t="array" ref="Y147">Common_InputFunctions.Utility_DisplayArrayInTable(Fertiliser_SourceData.Fertiliser_Products_Data2(), FertiliserProducts[[#Headers],[Company]],31)</f>
        <v/>
      </c>
      <c r="Z147" s="148" t="str" cm="1">
        <f t="array" ref="Z147">Common_InputFunctions.Utility_DisplayArrayInTable(Fertiliser_SourceData.Fertiliser_Products_Data2(), FertiliserProducts[[#Headers],[Company]],31)</f>
        <v/>
      </c>
      <c r="AA147" s="148" t="str" cm="1">
        <f t="array" ref="AA147">Common_InputFunctions.Utility_DisplayArrayInTable(Fertiliser_SourceData.Fertiliser_Products_Data2(), FertiliserProducts[[#Headers],[Company]],31)</f>
        <v/>
      </c>
      <c r="AB147" s="148" t="str" cm="1">
        <f t="array" ref="AB147">Common_InputFunctions.Utility_DisplayArrayInTable(Fertiliser_SourceData.Fertiliser_Products_Data2(), FertiliserProducts[[#Headers],[Company]],31)</f>
        <v/>
      </c>
      <c r="AC147" s="148" t="str" cm="1">
        <f t="array" ref="AC147">Common_InputFunctions.Utility_DisplayArrayInTable(Fertiliser_SourceData.Fertiliser_Products_Data2(), FertiliserProducts[[#Headers],[Company]],31)</f>
        <v/>
      </c>
      <c r="AD147" s="148" t="str" cm="1">
        <f t="array" ref="AD147">Common_InputFunctions.Utility_DisplayArrayInTable(Fertiliser_SourceData.Fertiliser_Products_Data2(), FertiliserProducts[[#Headers],[Company]],31)</f>
        <v/>
      </c>
      <c r="AE147" s="148" t="str" cm="1">
        <f t="array" ref="AE147">Common_InputFunctions.Utility_DisplayArrayInTable(Fertiliser_SourceData.Fertiliser_Products_Data2(), FertiliserProducts[[#Headers],[Company]],31)</f>
        <v/>
      </c>
      <c r="AF147" s="148" t="str" cm="1">
        <f t="array" ref="AF147">Common_InputFunctions.Utility_DisplayArrayInTable(Fertiliser_SourceData.Fertiliser_Products_Data2(), FertiliserProducts[[#Headers],[Company]],31)</f>
        <v/>
      </c>
      <c r="AG147" s="148" t="str" cm="1">
        <f t="array" ref="AG147">Common_InputFunctions.Utility_DisplayArrayInTable(Fertiliser_SourceData.Fertiliser_Products_Data2(), FertiliserProducts[[#Headers],[Company]],31)</f>
        <v/>
      </c>
      <c r="AH147" s="148" t="str" cm="1">
        <f t="array" ref="AH147">Common_InputFunctions.Utility_DisplayArrayInTable(Fertiliser_SourceData.Fertiliser_Products_Data2(), FertiliserProducts[[#Headers],[Company]],31)</f>
        <v/>
      </c>
      <c r="AK147" s="1"/>
      <c r="AL147" s="1"/>
      <c r="AM147" s="1"/>
    </row>
    <row r="148" spans="1:39" ht="20.100000000000001" customHeight="1" x14ac:dyDescent="0.2">
      <c r="D148" s="148" t="str" cm="1">
        <f t="array" ref="D148">Common_InputFunctions.Utility_DisplayArrayInTable(Fertiliser_SourceData.Fertiliser_Products_Data2(), FertiliserProducts[[#Headers],[Company]],31)</f>
        <v>Yara Australia</v>
      </c>
      <c r="E148" s="148" t="str" cm="1">
        <f t="array" ref="E148">Common_InputFunctions.Utility_DisplayArrayInTable(Fertiliser_SourceData.Fertiliser_Products_Data2(), FertiliserProducts[[#Headers],[Company]],31)</f>
        <v>YaraTera KRISTALON RED</v>
      </c>
      <c r="F148" s="148" t="str" cm="1">
        <f t="array" ref="F148">Common_InputFunctions.Utility_DisplayArrayInTable(Fertiliser_SourceData.Fertiliser_Products_Data2(), FertiliserProducts[[#Headers],[Company]],31)</f>
        <v>kg</v>
      </c>
      <c r="G148" s="148" cm="1">
        <f t="array" ref="G148">Common_InputFunctions.Utility_DisplayArrayInTable(Fertiliser_SourceData.Fertiliser_Products_Data2(), FertiliserProducts[[#Headers],[Company]],31)</f>
        <v>1</v>
      </c>
      <c r="H148" s="148" t="str" cm="1">
        <f t="array" ref="H148">Common_InputFunctions.Utility_DisplayArrayInTable(Fertiliser_SourceData.Fertiliser_Products_Data2(), FertiliserProducts[[#Headers],[Company]],31)</f>
        <v/>
      </c>
      <c r="I148" s="148" t="str" cm="1">
        <f t="array" ref="I148">Common_InputFunctions.Utility_DisplayArrayInTable(Fertiliser_SourceData.Fertiliser_Products_Data2(), FertiliserProducts[[#Headers],[Company]],31)</f>
        <v/>
      </c>
      <c r="J148" s="148" t="str" cm="1">
        <f t="array" ref="J148">Common_InputFunctions.Utility_DisplayArrayInTable(Fertiliser_SourceData.Fertiliser_Products_Data2(), FertiliserProducts[[#Headers],[Company]],31)</f>
        <v/>
      </c>
      <c r="K148" s="148" cm="1">
        <f t="array" ref="K148">Common_InputFunctions.Utility_DisplayArrayInTable(Fertiliser_SourceData.Fertiliser_Products_Data2(), FertiliserProducts[[#Headers],[Company]],31)</f>
        <v>12</v>
      </c>
      <c r="L148" s="148" cm="1">
        <f t="array" ref="L148">Common_InputFunctions.Utility_DisplayArrayInTable(Fertiliser_SourceData.Fertiliser_Products_Data2(), FertiliserProducts[[#Headers],[Company]],31)</f>
        <v>5.2</v>
      </c>
      <c r="M148" s="148" cm="1">
        <f t="array" ref="M148">Common_InputFunctions.Utility_DisplayArrayInTable(Fertiliser_SourceData.Fertiliser_Products_Data2(), FertiliserProducts[[#Headers],[Company]],31)</f>
        <v>29.9</v>
      </c>
      <c r="N148" s="148" cm="1">
        <f t="array" ref="N148">Common_InputFunctions.Utility_DisplayArrayInTable(Fertiliser_SourceData.Fertiliser_Products_Data2(), FertiliserProducts[[#Headers],[Company]],31)</f>
        <v>1</v>
      </c>
      <c r="O148" s="148" t="str" cm="1">
        <f t="array" ref="O148">Common_InputFunctions.Utility_DisplayArrayInTable(Fertiliser_SourceData.Fertiliser_Products_Data2(), FertiliserProducts[[#Headers],[Company]],31)</f>
        <v>Potassium - Generic</v>
      </c>
      <c r="P148" s="148" cm="1">
        <f t="array" ref="P148">Common_InputFunctions.Utility_DisplayArrayInTable(Fertiliser_SourceData.Fertiliser_Products_Data2(), FertiliserProducts[[#Headers],[Company]],31)</f>
        <v>0.29899999999999999</v>
      </c>
      <c r="Q148" s="148" t="str" cm="1">
        <f t="array" ref="Q148">Common_InputFunctions.Utility_DisplayArrayInTable(Fertiliser_SourceData.Fertiliser_Products_Data2(), FertiliserProducts[[#Headers],[Company]],31)</f>
        <v>Nitrogen - Nitrate</v>
      </c>
      <c r="R148" s="148" cm="1">
        <f t="array" ref="R148">Common_InputFunctions.Utility_DisplayArrayInTable(Fertiliser_SourceData.Fertiliser_Products_Data2(), FertiliserProducts[[#Headers],[Company]],31)</f>
        <v>0.10100000000000001</v>
      </c>
      <c r="S148" s="148" t="str" cm="1">
        <f t="array" ref="S148">Common_InputFunctions.Utility_DisplayArrayInTable(Fertiliser_SourceData.Fertiliser_Products_Data2(), FertiliserProducts[[#Headers],[Company]],31)</f>
        <v>Phosphorus - Generic</v>
      </c>
      <c r="T148" s="148" cm="1">
        <f t="array" ref="T148">Common_InputFunctions.Utility_DisplayArrayInTable(Fertiliser_SourceData.Fertiliser_Products_Data2(), FertiliserProducts[[#Headers],[Company]],31)</f>
        <v>5.1999999999999998E-2</v>
      </c>
      <c r="U148" s="148" t="str" cm="1">
        <f t="array" ref="U148">Common_InputFunctions.Utility_DisplayArrayInTable(Fertiliser_SourceData.Fertiliser_Products_Data2(), FertiliserProducts[[#Headers],[Company]],31)</f>
        <v>Nitrogen - Ammoniacal</v>
      </c>
      <c r="V148" s="148" cm="1">
        <f t="array" ref="V148">Common_InputFunctions.Utility_DisplayArrayInTable(Fertiliser_SourceData.Fertiliser_Products_Data2(), FertiliserProducts[[#Headers],[Company]],31)</f>
        <v>1.9E-2</v>
      </c>
      <c r="W148" s="148" t="str" cm="1">
        <f t="array" ref="W148">Common_InputFunctions.Utility_DisplayArrayInTable(Fertiliser_SourceData.Fertiliser_Products_Data2(), FertiliserProducts[[#Headers],[Company]],31)</f>
        <v>Sulfur - Generic</v>
      </c>
      <c r="X148" s="148" cm="1">
        <f t="array" ref="X148">Common_InputFunctions.Utility_DisplayArrayInTable(Fertiliser_SourceData.Fertiliser_Products_Data2(), FertiliserProducts[[#Headers],[Company]],31)</f>
        <v>0.01</v>
      </c>
      <c r="Y148" s="148" t="str" cm="1">
        <f t="array" ref="Y148">Common_InputFunctions.Utility_DisplayArrayInTable(Fertiliser_SourceData.Fertiliser_Products_Data2(), FertiliserProducts[[#Headers],[Company]],31)</f>
        <v>Magnesium</v>
      </c>
      <c r="Z148" s="148" cm="1">
        <f t="array" ref="Z148">Common_InputFunctions.Utility_DisplayArrayInTable(Fertiliser_SourceData.Fertiliser_Products_Data2(), FertiliserProducts[[#Headers],[Company]],31)</f>
        <v>6.0000000000000001E-3</v>
      </c>
      <c r="AA148" s="148" t="str" cm="1">
        <f t="array" ref="AA148">Common_InputFunctions.Utility_DisplayArrayInTable(Fertiliser_SourceData.Fertiliser_Products_Data2(), FertiliserProducts[[#Headers],[Company]],31)</f>
        <v>Iron</v>
      </c>
      <c r="AB148" s="148" cm="1">
        <f t="array" ref="AB148">Common_InputFunctions.Utility_DisplayArrayInTable(Fertiliser_SourceData.Fertiliser_Products_Data2(), FertiliserProducts[[#Headers],[Company]],31)</f>
        <v>6.9999999999999999E-4</v>
      </c>
      <c r="AC148" s="148" t="str" cm="1">
        <f t="array" ref="AC148">Common_InputFunctions.Utility_DisplayArrayInTable(Fertiliser_SourceData.Fertiliser_Products_Data2(), FertiliserProducts[[#Headers],[Company]],31)</f>
        <v>Manganese</v>
      </c>
      <c r="AD148" s="148" cm="1">
        <f t="array" ref="AD148">Common_InputFunctions.Utility_DisplayArrayInTable(Fertiliser_SourceData.Fertiliser_Products_Data2(), FertiliserProducts[[#Headers],[Company]],31)</f>
        <v>4.0000000000000002E-4</v>
      </c>
      <c r="AE148" s="148" t="str" cm="1">
        <f t="array" ref="AE148">Common_InputFunctions.Utility_DisplayArrayInTable(Fertiliser_SourceData.Fertiliser_Products_Data2(), FertiliserProducts[[#Headers],[Company]],31)</f>
        <v>Zinc</v>
      </c>
      <c r="AF148" s="148" cm="1">
        <f t="array" ref="AF148">Common_InputFunctions.Utility_DisplayArrayInTable(Fertiliser_SourceData.Fertiliser_Products_Data2(), FertiliserProducts[[#Headers],[Company]],31)</f>
        <v>2.5000000000000001E-4</v>
      </c>
      <c r="AG148" s="148" t="str" cm="1">
        <f t="array" ref="AG148">Common_InputFunctions.Utility_DisplayArrayInTable(Fertiliser_SourceData.Fertiliser_Products_Data2(), FertiliserProducts[[#Headers],[Company]],31)</f>
        <v>Boron</v>
      </c>
      <c r="AH148" s="148" cm="1">
        <f t="array" ref="AH148">Common_InputFunctions.Utility_DisplayArrayInTable(Fertiliser_SourceData.Fertiliser_Products_Data2(), FertiliserProducts[[#Headers],[Company]],31)</f>
        <v>2.5000000000000001E-4</v>
      </c>
      <c r="AK148" s="1"/>
      <c r="AL148" s="1"/>
      <c r="AM148" s="1"/>
    </row>
    <row r="149" spans="1:39" ht="20.100000000000001" customHeight="1" x14ac:dyDescent="0.2">
      <c r="D149" s="148" t="str" cm="1">
        <f t="array" ref="D149">Common_InputFunctions.Utility_DisplayArrayInTable(Fertiliser_SourceData.Fertiliser_Products_Data2(), FertiliserProducts[[#Headers],[Company]],31)</f>
        <v>Yara Australia</v>
      </c>
      <c r="E149" s="148" t="str" cm="1">
        <f t="array" ref="E149">Common_InputFunctions.Utility_DisplayArrayInTable(Fertiliser_SourceData.Fertiliser_Products_Data2(), FertiliserProducts[[#Headers],[Company]],31)</f>
        <v>YaraTera KRISTALON SPECIAL</v>
      </c>
      <c r="F149" s="148" t="str" cm="1">
        <f t="array" ref="F149">Common_InputFunctions.Utility_DisplayArrayInTable(Fertiliser_SourceData.Fertiliser_Products_Data2(), FertiliserProducts[[#Headers],[Company]],31)</f>
        <v>kg</v>
      </c>
      <c r="G149" s="148" cm="1">
        <f t="array" ref="G149">Common_InputFunctions.Utility_DisplayArrayInTable(Fertiliser_SourceData.Fertiliser_Products_Data2(), FertiliserProducts[[#Headers],[Company]],31)</f>
        <v>1</v>
      </c>
      <c r="H149" s="148" t="str" cm="1">
        <f t="array" ref="H149">Common_InputFunctions.Utility_DisplayArrayInTable(Fertiliser_SourceData.Fertiliser_Products_Data2(), FertiliserProducts[[#Headers],[Company]],31)</f>
        <v/>
      </c>
      <c r="I149" s="148" t="str" cm="1">
        <f t="array" ref="I149">Common_InputFunctions.Utility_DisplayArrayInTable(Fertiliser_SourceData.Fertiliser_Products_Data2(), FertiliserProducts[[#Headers],[Company]],31)</f>
        <v/>
      </c>
      <c r="J149" s="148" t="str" cm="1">
        <f t="array" ref="J149">Common_InputFunctions.Utility_DisplayArrayInTable(Fertiliser_SourceData.Fertiliser_Products_Data2(), FertiliserProducts[[#Headers],[Company]],31)</f>
        <v/>
      </c>
      <c r="K149" s="148" cm="1">
        <f t="array" ref="K149">Common_InputFunctions.Utility_DisplayArrayInTable(Fertiliser_SourceData.Fertiliser_Products_Data2(), FertiliserProducts[[#Headers],[Company]],31)</f>
        <v>18</v>
      </c>
      <c r="L149" s="148" cm="1">
        <f t="array" ref="L149">Common_InputFunctions.Utility_DisplayArrayInTable(Fertiliser_SourceData.Fertiliser_Products_Data2(), FertiliserProducts[[#Headers],[Company]],31)</f>
        <v>7.9</v>
      </c>
      <c r="M149" s="148" cm="1">
        <f t="array" ref="M149">Common_InputFunctions.Utility_DisplayArrayInTable(Fertiliser_SourceData.Fertiliser_Products_Data2(), FertiliserProducts[[#Headers],[Company]],31)</f>
        <v>14.9</v>
      </c>
      <c r="N149" s="148" cm="1">
        <f t="array" ref="N149">Common_InputFunctions.Utility_DisplayArrayInTable(Fertiliser_SourceData.Fertiliser_Products_Data2(), FertiliserProducts[[#Headers],[Company]],31)</f>
        <v>2</v>
      </c>
      <c r="O149" s="148" t="str" cm="1">
        <f t="array" ref="O149">Common_InputFunctions.Utility_DisplayArrayInTable(Fertiliser_SourceData.Fertiliser_Products_Data2(), FertiliserProducts[[#Headers],[Company]],31)</f>
        <v>Potassium - Generic</v>
      </c>
      <c r="P149" s="148" cm="1">
        <f t="array" ref="P149">Common_InputFunctions.Utility_DisplayArrayInTable(Fertiliser_SourceData.Fertiliser_Products_Data2(), FertiliserProducts[[#Headers],[Company]],31)</f>
        <v>0.14899999999999999</v>
      </c>
      <c r="Q149" s="148" t="str" cm="1">
        <f t="array" ref="Q149">Common_InputFunctions.Utility_DisplayArrayInTable(Fertiliser_SourceData.Fertiliser_Products_Data2(), FertiliserProducts[[#Headers],[Company]],31)</f>
        <v>Urea</v>
      </c>
      <c r="R149" s="148" cm="1">
        <f t="array" ref="R149">Common_InputFunctions.Utility_DisplayArrayInTable(Fertiliser_SourceData.Fertiliser_Products_Data2(), FertiliserProducts[[#Headers],[Company]],31)</f>
        <v>0.21304300000000001</v>
      </c>
      <c r="S149" s="148" t="str" cm="1">
        <f t="array" ref="S149">Common_InputFunctions.Utility_DisplayArrayInTable(Fertiliser_SourceData.Fertiliser_Products_Data2(), FertiliserProducts[[#Headers],[Company]],31)</f>
        <v>Phosphorus - Generic</v>
      </c>
      <c r="T149" s="148" cm="1">
        <f t="array" ref="T149">Common_InputFunctions.Utility_DisplayArrayInTable(Fertiliser_SourceData.Fertiliser_Products_Data2(), FertiliserProducts[[#Headers],[Company]],31)</f>
        <v>7.9000000000000001E-2</v>
      </c>
      <c r="U149" s="148" t="str" cm="1">
        <f t="array" ref="U149">Common_InputFunctions.Utility_DisplayArrayInTable(Fertiliser_SourceData.Fertiliser_Products_Data2(), FertiliserProducts[[#Headers],[Company]],31)</f>
        <v>Nitrogen - Nitrate</v>
      </c>
      <c r="V149" s="148" cm="1">
        <f t="array" ref="V149">Common_InputFunctions.Utility_DisplayArrayInTable(Fertiliser_SourceData.Fertiliser_Products_Data2(), FertiliserProducts[[#Headers],[Company]],31)</f>
        <v>4.9000000000000002E-2</v>
      </c>
      <c r="W149" s="148" t="str" cm="1">
        <f t="array" ref="W149">Common_InputFunctions.Utility_DisplayArrayInTable(Fertiliser_SourceData.Fertiliser_Products_Data2(), FertiliserProducts[[#Headers],[Company]],31)</f>
        <v>Nitrogen - Ammoniacal</v>
      </c>
      <c r="X149" s="148" cm="1">
        <f t="array" ref="X149">Common_InputFunctions.Utility_DisplayArrayInTable(Fertiliser_SourceData.Fertiliser_Products_Data2(), FertiliserProducts[[#Headers],[Company]],31)</f>
        <v>3.3000000000000002E-2</v>
      </c>
      <c r="Y149" s="148" t="str" cm="1">
        <f t="array" ref="Y149">Common_InputFunctions.Utility_DisplayArrayInTable(Fertiliser_SourceData.Fertiliser_Products_Data2(), FertiliserProducts[[#Headers],[Company]],31)</f>
        <v>Sulfur - Generic</v>
      </c>
      <c r="Z149" s="148" cm="1">
        <f t="array" ref="Z149">Common_InputFunctions.Utility_DisplayArrayInTable(Fertiliser_SourceData.Fertiliser_Products_Data2(), FertiliserProducts[[#Headers],[Company]],31)</f>
        <v>0.02</v>
      </c>
      <c r="AA149" s="148" t="str" cm="1">
        <f t="array" ref="AA149">Common_InputFunctions.Utility_DisplayArrayInTable(Fertiliser_SourceData.Fertiliser_Products_Data2(), FertiliserProducts[[#Headers],[Company]],31)</f>
        <v>Magnesium</v>
      </c>
      <c r="AB149" s="148" cm="1">
        <f t="array" ref="AB149">Common_InputFunctions.Utility_DisplayArrayInTable(Fertiliser_SourceData.Fertiliser_Products_Data2(), FertiliserProducts[[#Headers],[Company]],31)</f>
        <v>1.7999999999999999E-2</v>
      </c>
      <c r="AC149" s="148" t="str" cm="1">
        <f t="array" ref="AC149">Common_InputFunctions.Utility_DisplayArrayInTable(Fertiliser_SourceData.Fertiliser_Products_Data2(), FertiliserProducts[[#Headers],[Company]],31)</f>
        <v>Iron</v>
      </c>
      <c r="AD149" s="148" cm="1">
        <f t="array" ref="AD149">Common_InputFunctions.Utility_DisplayArrayInTable(Fertiliser_SourceData.Fertiliser_Products_Data2(), FertiliserProducts[[#Headers],[Company]],31)</f>
        <v>6.9999999999999999E-4</v>
      </c>
      <c r="AE149" s="148" t="str" cm="1">
        <f t="array" ref="AE149">Common_InputFunctions.Utility_DisplayArrayInTable(Fertiliser_SourceData.Fertiliser_Products_Data2(), FertiliserProducts[[#Headers],[Company]],31)</f>
        <v>Manganese</v>
      </c>
      <c r="AF149" s="148" cm="1">
        <f t="array" ref="AF149">Common_InputFunctions.Utility_DisplayArrayInTable(Fertiliser_SourceData.Fertiliser_Products_Data2(), FertiliserProducts[[#Headers],[Company]],31)</f>
        <v>4.0000000000000002E-4</v>
      </c>
      <c r="AG149" s="148" t="str" cm="1">
        <f t="array" ref="AG149">Common_InputFunctions.Utility_DisplayArrayInTable(Fertiliser_SourceData.Fertiliser_Products_Data2(), FertiliserProducts[[#Headers],[Company]],31)</f>
        <v>Zinc</v>
      </c>
      <c r="AH149" s="148" cm="1">
        <f t="array" ref="AH149">Common_InputFunctions.Utility_DisplayArrayInTable(Fertiliser_SourceData.Fertiliser_Products_Data2(), FertiliserProducts[[#Headers],[Company]],31)</f>
        <v>2.5000000000000001E-4</v>
      </c>
      <c r="AK149" s="1"/>
      <c r="AL149" s="1"/>
      <c r="AM149" s="1"/>
    </row>
    <row r="150" spans="1:39" ht="20.100000000000001" customHeight="1" x14ac:dyDescent="0.2">
      <c r="D150" s="148" t="str" cm="1">
        <f t="array" ref="D150">Common_InputFunctions.Utility_DisplayArrayInTable(Fertiliser_SourceData.Fertiliser_Products_Data3(), FertiliserProducts[[#Headers],[Company]],61)</f>
        <v>Yara Australia</v>
      </c>
      <c r="E150" s="148" t="str" cm="1">
        <f t="array" ref="E150">Common_InputFunctions.Utility_DisplayArrayInTable(Fertiliser_SourceData.Fertiliser_Products_Data3(), FertiliserProducts[[#Headers],[Company]],61)</f>
        <v>YaraMila 21-7-3(4)</v>
      </c>
      <c r="F150" s="148" t="str" cm="1">
        <f t="array" ref="F150">Common_InputFunctions.Utility_DisplayArrayInTable(Fertiliser_SourceData.Fertiliser_Products_Data3(), FertiliserProducts[[#Headers],[Company]],61)</f>
        <v>kg</v>
      </c>
      <c r="G150" s="148" cm="1">
        <f t="array" ref="G150">Common_InputFunctions.Utility_DisplayArrayInTable(Fertiliser_SourceData.Fertiliser_Products_Data3(), FertiliserProducts[[#Headers],[Company]],61)</f>
        <v>1</v>
      </c>
      <c r="H150" s="148" t="str" cm="1">
        <f t="array" ref="H150">Common_InputFunctions.Utility_DisplayArrayInTable(Fertiliser_SourceData.Fertiliser_Products_Data3(), FertiliserProducts[[#Headers],[Company]],61)</f>
        <v/>
      </c>
      <c r="I150" s="148" t="str" cm="1">
        <f t="array" ref="I150">Common_InputFunctions.Utility_DisplayArrayInTable(Fertiliser_SourceData.Fertiliser_Products_Data3(), FertiliserProducts[[#Headers],[Company]],61)</f>
        <v/>
      </c>
      <c r="J150" s="148" t="str" cm="1">
        <f t="array" ref="J150">Common_InputFunctions.Utility_DisplayArrayInTable(Fertiliser_SourceData.Fertiliser_Products_Data3(), FertiliserProducts[[#Headers],[Company]],61)</f>
        <v/>
      </c>
      <c r="K150" s="148" cm="1">
        <f t="array" ref="K150">Common_InputFunctions.Utility_DisplayArrayInTable(Fertiliser_SourceData.Fertiliser_Products_Data3(), FertiliserProducts[[#Headers],[Company]],61)</f>
        <v>21</v>
      </c>
      <c r="L150" s="148" cm="1">
        <f t="array" ref="L150">Common_InputFunctions.Utility_DisplayArrayInTable(Fertiliser_SourceData.Fertiliser_Products_Data3(), FertiliserProducts[[#Headers],[Company]],61)</f>
        <v>7.4</v>
      </c>
      <c r="M150" s="148" cm="1">
        <f t="array" ref="M150">Common_InputFunctions.Utility_DisplayArrayInTable(Fertiliser_SourceData.Fertiliser_Products_Data3(), FertiliserProducts[[#Headers],[Company]],61)</f>
        <v>2.5</v>
      </c>
      <c r="N150" s="148" cm="1">
        <f t="array" ref="N150">Common_InputFunctions.Utility_DisplayArrayInTable(Fertiliser_SourceData.Fertiliser_Products_Data3(), FertiliserProducts[[#Headers],[Company]],61)</f>
        <v>4</v>
      </c>
      <c r="O150" s="148" t="str" cm="1">
        <f t="array" ref="O150">Common_InputFunctions.Utility_DisplayArrayInTable(Fertiliser_SourceData.Fertiliser_Products_Data3(), FertiliserProducts[[#Headers],[Company]],61)</f>
        <v>Nitrogen - Nitrate</v>
      </c>
      <c r="P150" s="148" cm="1">
        <f t="array" ref="P150">Common_InputFunctions.Utility_DisplayArrayInTable(Fertiliser_SourceData.Fertiliser_Products_Data3(), FertiliserProducts[[#Headers],[Company]],61)</f>
        <v>0.105</v>
      </c>
      <c r="Q150" s="148" t="str" cm="1">
        <f t="array" ref="Q150">Common_InputFunctions.Utility_DisplayArrayInTable(Fertiliser_SourceData.Fertiliser_Products_Data3(), FertiliserProducts[[#Headers],[Company]],61)</f>
        <v>Nitrogen - Ammoniacal</v>
      </c>
      <c r="R150" s="148" cm="1">
        <f t="array" ref="R150">Common_InputFunctions.Utility_DisplayArrayInTable(Fertiliser_SourceData.Fertiliser_Products_Data3(), FertiliserProducts[[#Headers],[Company]],61)</f>
        <v>0.105</v>
      </c>
      <c r="S150" s="148" t="str" cm="1">
        <f t="array" ref="S150">Common_InputFunctions.Utility_DisplayArrayInTable(Fertiliser_SourceData.Fertiliser_Products_Data3(), FertiliserProducts[[#Headers],[Company]],61)</f>
        <v>Phosphorus - Generic</v>
      </c>
      <c r="T150" s="148" cm="1">
        <f t="array" ref="T150">Common_InputFunctions.Utility_DisplayArrayInTable(Fertiliser_SourceData.Fertiliser_Products_Data3(), FertiliserProducts[[#Headers],[Company]],61)</f>
        <v>7.3999999999999996E-2</v>
      </c>
      <c r="U150" s="148" t="str" cm="1">
        <f t="array" ref="U150">Common_InputFunctions.Utility_DisplayArrayInTable(Fertiliser_SourceData.Fertiliser_Products_Data3(), FertiliserProducts[[#Headers],[Company]],61)</f>
        <v>Sulfur - Generic</v>
      </c>
      <c r="V150" s="148" cm="1">
        <f t="array" ref="V150">Common_InputFunctions.Utility_DisplayArrayInTable(Fertiliser_SourceData.Fertiliser_Products_Data3(), FertiliserProducts[[#Headers],[Company]],61)</f>
        <v>0.04</v>
      </c>
      <c r="W150" s="148" t="str" cm="1">
        <f t="array" ref="W150">Common_InputFunctions.Utility_DisplayArrayInTable(Fertiliser_SourceData.Fertiliser_Products_Data3(), FertiliserProducts[[#Headers],[Company]],61)</f>
        <v>Potassium - Generic</v>
      </c>
      <c r="X150" s="148" cm="1">
        <f t="array" ref="X150">Common_InputFunctions.Utility_DisplayArrayInTable(Fertiliser_SourceData.Fertiliser_Products_Data3(), FertiliserProducts[[#Headers],[Company]],61)</f>
        <v>2.5000000000000001E-2</v>
      </c>
      <c r="Y150" s="148" t="str" cm="1">
        <f t="array" ref="Y150">Common_InputFunctions.Utility_DisplayArrayInTable(Fertiliser_SourceData.Fertiliser_Products_Data3(), FertiliserProducts[[#Headers],[Company]],61)</f>
        <v>Magnesium</v>
      </c>
      <c r="Z150" s="148" cm="1">
        <f t="array" ref="Z150">Common_InputFunctions.Utility_DisplayArrayInTable(Fertiliser_SourceData.Fertiliser_Products_Data3(), FertiliserProducts[[#Headers],[Company]],61)</f>
        <v>4.0000000000000001E-3</v>
      </c>
      <c r="AA150" s="148" t="str" cm="1">
        <f t="array" ref="AA150">Common_InputFunctions.Utility_DisplayArrayInTable(Fertiliser_SourceData.Fertiliser_Products_Data3(), FertiliserProducts[[#Headers],[Company]],61)</f>
        <v>Zinc</v>
      </c>
      <c r="AB150" s="148" cm="1">
        <f t="array" ref="AB150">Common_InputFunctions.Utility_DisplayArrayInTable(Fertiliser_SourceData.Fertiliser_Products_Data3(), FertiliserProducts[[#Headers],[Company]],61)</f>
        <v>1.5E-3</v>
      </c>
      <c r="AC150" s="148" t="str" cm="1">
        <f t="array" ref="AC150">Common_InputFunctions.Utility_DisplayArrayInTable(Fertiliser_SourceData.Fertiliser_Products_Data3(), FertiliserProducts[[#Headers],[Company]],61)</f>
        <v/>
      </c>
      <c r="AD150" s="148" t="str" cm="1">
        <f t="array" ref="AD150">Common_InputFunctions.Utility_DisplayArrayInTable(Fertiliser_SourceData.Fertiliser_Products_Data3(), FertiliserProducts[[#Headers],[Company]],61)</f>
        <v/>
      </c>
      <c r="AE150" s="148" t="str" cm="1">
        <f t="array" ref="AE150">Common_InputFunctions.Utility_DisplayArrayInTable(Fertiliser_SourceData.Fertiliser_Products_Data3(), FertiliserProducts[[#Headers],[Company]],61)</f>
        <v/>
      </c>
      <c r="AF150" s="148" t="str" cm="1">
        <f t="array" ref="AF150">Common_InputFunctions.Utility_DisplayArrayInTable(Fertiliser_SourceData.Fertiliser_Products_Data3(), FertiliserProducts[[#Headers],[Company]],61)</f>
        <v/>
      </c>
      <c r="AG150" s="148" t="str" cm="1">
        <f t="array" ref="AG150">Common_InputFunctions.Utility_DisplayArrayInTable(Fertiliser_SourceData.Fertiliser_Products_Data3(), FertiliserProducts[[#Headers],[Company]],61)</f>
        <v/>
      </c>
      <c r="AH150" s="148" t="str" cm="1">
        <f t="array" ref="AH150">Common_InputFunctions.Utility_DisplayArrayInTable(Fertiliser_SourceData.Fertiliser_Products_Data3(), FertiliserProducts[[#Headers],[Company]],61)</f>
        <v/>
      </c>
      <c r="AK150" s="1"/>
      <c r="AL150" s="1"/>
      <c r="AM150" s="1"/>
    </row>
    <row r="151" spans="1:39" ht="20.100000000000001" customHeight="1" x14ac:dyDescent="0.2">
      <c r="D151" s="148" t="str" cm="1">
        <f t="array" ref="D151">Common_InputFunctions.Utility_DisplayArrayInTable(Fertiliser_SourceData.Fertiliser_Products_Data3(), FertiliserProducts[[#Headers],[Company]],61)</f>
        <v>Yara Australia</v>
      </c>
      <c r="E151" s="148" t="str" cm="1">
        <f t="array" ref="E151">Common_InputFunctions.Utility_DisplayArrayInTable(Fertiliser_SourceData.Fertiliser_Products_Data3(), FertiliserProducts[[#Headers],[Company]],61)</f>
        <v>YaraTera KRISTALON SCARLET</v>
      </c>
      <c r="F151" s="148" t="str" cm="1">
        <f t="array" ref="F151">Common_InputFunctions.Utility_DisplayArrayInTable(Fertiliser_SourceData.Fertiliser_Products_Data3(), FertiliserProducts[[#Headers],[Company]],61)</f>
        <v>kg</v>
      </c>
      <c r="G151" s="148" cm="1">
        <f t="array" ref="G151">Common_InputFunctions.Utility_DisplayArrayInTable(Fertiliser_SourceData.Fertiliser_Products_Data3(), FertiliserProducts[[#Headers],[Company]],61)</f>
        <v>1</v>
      </c>
      <c r="H151" s="148" t="str" cm="1">
        <f t="array" ref="H151">Common_InputFunctions.Utility_DisplayArrayInTable(Fertiliser_SourceData.Fertiliser_Products_Data3(), FertiliserProducts[[#Headers],[Company]],61)</f>
        <v/>
      </c>
      <c r="I151" s="148" t="str" cm="1">
        <f t="array" ref="I151">Common_InputFunctions.Utility_DisplayArrayInTable(Fertiliser_SourceData.Fertiliser_Products_Data3(), FertiliserProducts[[#Headers],[Company]],61)</f>
        <v/>
      </c>
      <c r="J151" s="148" t="str" cm="1">
        <f t="array" ref="J151">Common_InputFunctions.Utility_DisplayArrayInTable(Fertiliser_SourceData.Fertiliser_Products_Data3(), FertiliserProducts[[#Headers],[Company]],61)</f>
        <v/>
      </c>
      <c r="K151" s="148" cm="1">
        <f t="array" ref="K151">Common_InputFunctions.Utility_DisplayArrayInTable(Fertiliser_SourceData.Fertiliser_Products_Data3(), FertiliserProducts[[#Headers],[Company]],61)</f>
        <v>7.5</v>
      </c>
      <c r="L151" s="148" t="str" cm="1">
        <f t="array" ref="L151">Common_InputFunctions.Utility_DisplayArrayInTable(Fertiliser_SourceData.Fertiliser_Products_Data3(), FertiliserProducts[[#Headers],[Company]],61)</f>
        <v/>
      </c>
      <c r="M151" s="148" cm="1">
        <f t="array" ref="M151">Common_InputFunctions.Utility_DisplayArrayInTable(Fertiliser_SourceData.Fertiliser_Products_Data3(), FertiliserProducts[[#Headers],[Company]],61)</f>
        <v>29.9</v>
      </c>
      <c r="N151" s="148" cm="1">
        <f t="array" ref="N151">Common_InputFunctions.Utility_DisplayArrayInTable(Fertiliser_SourceData.Fertiliser_Products_Data3(), FertiliserProducts[[#Headers],[Company]],61)</f>
        <v>4</v>
      </c>
      <c r="O151" s="148" t="str" cm="1">
        <f t="array" ref="O151">Common_InputFunctions.Utility_DisplayArrayInTable(Fertiliser_SourceData.Fertiliser_Products_Data3(), FertiliserProducts[[#Headers],[Company]],61)</f>
        <v>Potassium - Generic</v>
      </c>
      <c r="P151" s="148" cm="1">
        <f t="array" ref="P151">Common_InputFunctions.Utility_DisplayArrayInTable(Fertiliser_SourceData.Fertiliser_Products_Data3(), FertiliserProducts[[#Headers],[Company]],61)</f>
        <v>0.29899999999999999</v>
      </c>
      <c r="Q151" s="148" t="str" cm="1">
        <f t="array" ref="Q151">Common_InputFunctions.Utility_DisplayArrayInTable(Fertiliser_SourceData.Fertiliser_Products_Data3(), FertiliserProducts[[#Headers],[Company]],61)</f>
        <v>Nitrogen - Nitrate</v>
      </c>
      <c r="R151" s="148" cm="1">
        <f t="array" ref="R151">Common_InputFunctions.Utility_DisplayArrayInTable(Fertiliser_SourceData.Fertiliser_Products_Data3(), FertiliserProducts[[#Headers],[Company]],61)</f>
        <v>5.1999999999999998E-2</v>
      </c>
      <c r="S151" s="148" t="str" cm="1">
        <f t="array" ref="S151">Common_InputFunctions.Utility_DisplayArrayInTable(Fertiliser_SourceData.Fertiliser_Products_Data3(), FertiliserProducts[[#Headers],[Company]],61)</f>
        <v>Sulfur - Generic</v>
      </c>
      <c r="T151" s="148" cm="1">
        <f t="array" ref="T151">Common_InputFunctions.Utility_DisplayArrayInTable(Fertiliser_SourceData.Fertiliser_Products_Data3(), FertiliserProducts[[#Headers],[Company]],61)</f>
        <v>0.04</v>
      </c>
      <c r="U151" s="148" t="str" cm="1">
        <f t="array" ref="U151">Common_InputFunctions.Utility_DisplayArrayInTable(Fertiliser_SourceData.Fertiliser_Products_Data3(), FertiliserProducts[[#Headers],[Company]],61)</f>
        <v>Magnesium</v>
      </c>
      <c r="V151" s="148" cm="1">
        <f t="array" ref="V151">Common_InputFunctions.Utility_DisplayArrayInTable(Fertiliser_SourceData.Fertiliser_Products_Data3(), FertiliserProducts[[#Headers],[Company]],61)</f>
        <v>2.7E-2</v>
      </c>
      <c r="W151" s="148" t="str" cm="1">
        <f t="array" ref="W151">Common_InputFunctions.Utility_DisplayArrayInTable(Fertiliser_SourceData.Fertiliser_Products_Data3(), FertiliserProducts[[#Headers],[Company]],61)</f>
        <v>Nitrogen - Ammoniacal</v>
      </c>
      <c r="X151" s="148" cm="1">
        <f t="array" ref="X151">Common_InputFunctions.Utility_DisplayArrayInTable(Fertiliser_SourceData.Fertiliser_Products_Data3(), FertiliserProducts[[#Headers],[Company]],61)</f>
        <v>2.3E-2</v>
      </c>
      <c r="Y151" s="148" t="str" cm="1">
        <f t="array" ref="Y151">Common_InputFunctions.Utility_DisplayArrayInTable(Fertiliser_SourceData.Fertiliser_Products_Data3(), FertiliserProducts[[#Headers],[Company]],61)</f>
        <v/>
      </c>
      <c r="Z151" s="148" t="str" cm="1">
        <f t="array" ref="Z151">Common_InputFunctions.Utility_DisplayArrayInTable(Fertiliser_SourceData.Fertiliser_Products_Data3(), FertiliserProducts[[#Headers],[Company]],61)</f>
        <v/>
      </c>
      <c r="AA151" s="148" t="str" cm="1">
        <f t="array" ref="AA151">Common_InputFunctions.Utility_DisplayArrayInTable(Fertiliser_SourceData.Fertiliser_Products_Data3(), FertiliserProducts[[#Headers],[Company]],61)</f>
        <v/>
      </c>
      <c r="AB151" s="148" t="str" cm="1">
        <f t="array" ref="AB151">Common_InputFunctions.Utility_DisplayArrayInTable(Fertiliser_SourceData.Fertiliser_Products_Data3(), FertiliserProducts[[#Headers],[Company]],61)</f>
        <v/>
      </c>
      <c r="AC151" s="148" t="str" cm="1">
        <f t="array" ref="AC151">Common_InputFunctions.Utility_DisplayArrayInTable(Fertiliser_SourceData.Fertiliser_Products_Data3(), FertiliserProducts[[#Headers],[Company]],61)</f>
        <v/>
      </c>
      <c r="AD151" s="148" t="str" cm="1">
        <f t="array" ref="AD151">Common_InputFunctions.Utility_DisplayArrayInTable(Fertiliser_SourceData.Fertiliser_Products_Data3(), FertiliserProducts[[#Headers],[Company]],61)</f>
        <v/>
      </c>
      <c r="AE151" s="148" t="str" cm="1">
        <f t="array" ref="AE151">Common_InputFunctions.Utility_DisplayArrayInTable(Fertiliser_SourceData.Fertiliser_Products_Data3(), FertiliserProducts[[#Headers],[Company]],61)</f>
        <v/>
      </c>
      <c r="AF151" s="148" t="str" cm="1">
        <f t="array" ref="AF151">Common_InputFunctions.Utility_DisplayArrayInTable(Fertiliser_SourceData.Fertiliser_Products_Data3(), FertiliserProducts[[#Headers],[Company]],61)</f>
        <v/>
      </c>
      <c r="AG151" s="148" t="str" cm="1">
        <f t="array" ref="AG151">Common_InputFunctions.Utility_DisplayArrayInTable(Fertiliser_SourceData.Fertiliser_Products_Data3(), FertiliserProducts[[#Headers],[Company]],61)</f>
        <v/>
      </c>
      <c r="AH151" s="148" t="str" cm="1">
        <f t="array" ref="AH151">Common_InputFunctions.Utility_DisplayArrayInTable(Fertiliser_SourceData.Fertiliser_Products_Data3(), FertiliserProducts[[#Headers],[Company]],61)</f>
        <v/>
      </c>
      <c r="AK151" s="1"/>
      <c r="AL151" s="1"/>
      <c r="AM151" s="1"/>
    </row>
    <row r="152" spans="1:39" ht="20.100000000000001" customHeight="1" x14ac:dyDescent="0.2">
      <c r="D152" s="148" t="str" cm="1">
        <f t="array" ref="D152">Common_InputFunctions.Utility_DisplayArrayInTable(Fertiliser_SourceData.Fertiliser_Products_Data3(), FertiliserProducts[[#Headers],[Company]],61)</f>
        <v>Campbells fertilisers Australia</v>
      </c>
      <c r="E152" s="148" t="str" cm="1">
        <f t="array" ref="E152">Common_InputFunctions.Utility_DisplayArrayInTable(Fertiliser_SourceData.Fertiliser_Products_Data3(), FertiliserProducts[[#Headers],[Company]],61)</f>
        <v>Solu-MAP</v>
      </c>
      <c r="F152" s="148" t="str" cm="1">
        <f t="array" ref="F152">Common_InputFunctions.Utility_DisplayArrayInTable(Fertiliser_SourceData.Fertiliser_Products_Data3(), FertiliserProducts[[#Headers],[Company]],61)</f>
        <v>kg</v>
      </c>
      <c r="G152" s="148" cm="1">
        <f t="array" ref="G152">Common_InputFunctions.Utility_DisplayArrayInTable(Fertiliser_SourceData.Fertiliser_Products_Data3(), FertiliserProducts[[#Headers],[Company]],61)</f>
        <v>1</v>
      </c>
      <c r="H152" s="148" t="str" cm="1">
        <f t="array" ref="H152">Common_InputFunctions.Utility_DisplayArrayInTable(Fertiliser_SourceData.Fertiliser_Products_Data3(), FertiliserProducts[[#Headers],[Company]],61)</f>
        <v/>
      </c>
      <c r="I152" s="148" t="str" cm="1">
        <f t="array" ref="I152">Common_InputFunctions.Utility_DisplayArrayInTable(Fertiliser_SourceData.Fertiliser_Products_Data3(), FertiliserProducts[[#Headers],[Company]],61)</f>
        <v/>
      </c>
      <c r="J152" s="148" t="str" cm="1">
        <f t="array" ref="J152">Common_InputFunctions.Utility_DisplayArrayInTable(Fertiliser_SourceData.Fertiliser_Products_Data3(), FertiliserProducts[[#Headers],[Company]],61)</f>
        <v/>
      </c>
      <c r="K152" s="148" cm="1">
        <f t="array" ref="K152">Common_InputFunctions.Utility_DisplayArrayInTable(Fertiliser_SourceData.Fertiliser_Products_Data3(), FertiliserProducts[[#Headers],[Company]],61)</f>
        <v>10</v>
      </c>
      <c r="L152" s="148" cm="1">
        <f t="array" ref="L152">Common_InputFunctions.Utility_DisplayArrayInTable(Fertiliser_SourceData.Fertiliser_Products_Data3(), FertiliserProducts[[#Headers],[Company]],61)</f>
        <v>21.9</v>
      </c>
      <c r="M152" s="148" t="str" cm="1">
        <f t="array" ref="M152">Common_InputFunctions.Utility_DisplayArrayInTable(Fertiliser_SourceData.Fertiliser_Products_Data3(), FertiliserProducts[[#Headers],[Company]],61)</f>
        <v/>
      </c>
      <c r="N152" s="148" t="str" cm="1">
        <f t="array" ref="N152">Common_InputFunctions.Utility_DisplayArrayInTable(Fertiliser_SourceData.Fertiliser_Products_Data3(), FertiliserProducts[[#Headers],[Company]],61)</f>
        <v/>
      </c>
      <c r="O152" s="148" t="str" cm="1">
        <f t="array" ref="O152">Common_InputFunctions.Utility_DisplayArrayInTable(Fertiliser_SourceData.Fertiliser_Products_Data3(), FertiliserProducts[[#Headers],[Company]],61)</f>
        <v>Monoammonium phosphate (MAP)</v>
      </c>
      <c r="P152" s="148" cm="1">
        <f t="array" ref="P152">Common_InputFunctions.Utility_DisplayArrayInTable(Fertiliser_SourceData.Fertiliser_Products_Data3(), FertiliserProducts[[#Headers],[Company]],61)</f>
        <v>1</v>
      </c>
      <c r="Q152" s="148" t="str" cm="1">
        <f t="array" ref="Q152">Common_InputFunctions.Utility_DisplayArrayInTable(Fertiliser_SourceData.Fertiliser_Products_Data3(), FertiliserProducts[[#Headers],[Company]],61)</f>
        <v/>
      </c>
      <c r="R152" s="148" t="str" cm="1">
        <f t="array" ref="R152">Common_InputFunctions.Utility_DisplayArrayInTable(Fertiliser_SourceData.Fertiliser_Products_Data3(), FertiliserProducts[[#Headers],[Company]],61)</f>
        <v/>
      </c>
      <c r="S152" s="148" t="str" cm="1">
        <f t="array" ref="S152">Common_InputFunctions.Utility_DisplayArrayInTable(Fertiliser_SourceData.Fertiliser_Products_Data3(), FertiliserProducts[[#Headers],[Company]],61)</f>
        <v/>
      </c>
      <c r="T152" s="148" t="str" cm="1">
        <f t="array" ref="T152">Common_InputFunctions.Utility_DisplayArrayInTable(Fertiliser_SourceData.Fertiliser_Products_Data3(), FertiliserProducts[[#Headers],[Company]],61)</f>
        <v/>
      </c>
      <c r="U152" s="148" t="str" cm="1">
        <f t="array" ref="U152">Common_InputFunctions.Utility_DisplayArrayInTable(Fertiliser_SourceData.Fertiliser_Products_Data3(), FertiliserProducts[[#Headers],[Company]],61)</f>
        <v/>
      </c>
      <c r="V152" s="148" t="str" cm="1">
        <f t="array" ref="V152">Common_InputFunctions.Utility_DisplayArrayInTable(Fertiliser_SourceData.Fertiliser_Products_Data3(), FertiliserProducts[[#Headers],[Company]],61)</f>
        <v/>
      </c>
      <c r="W152" s="148" t="str" cm="1">
        <f t="array" ref="W152">Common_InputFunctions.Utility_DisplayArrayInTable(Fertiliser_SourceData.Fertiliser_Products_Data3(), FertiliserProducts[[#Headers],[Company]],61)</f>
        <v/>
      </c>
      <c r="X152" s="148" t="str" cm="1">
        <f t="array" ref="X152">Common_InputFunctions.Utility_DisplayArrayInTable(Fertiliser_SourceData.Fertiliser_Products_Data3(), FertiliserProducts[[#Headers],[Company]],61)</f>
        <v/>
      </c>
      <c r="Y152" s="148" t="str" cm="1">
        <f t="array" ref="Y152">Common_InputFunctions.Utility_DisplayArrayInTable(Fertiliser_SourceData.Fertiliser_Products_Data3(), FertiliserProducts[[#Headers],[Company]],61)</f>
        <v/>
      </c>
      <c r="Z152" s="148" t="str" cm="1">
        <f t="array" ref="Z152">Common_InputFunctions.Utility_DisplayArrayInTable(Fertiliser_SourceData.Fertiliser_Products_Data3(), FertiliserProducts[[#Headers],[Company]],61)</f>
        <v/>
      </c>
      <c r="AA152" s="148" t="str" cm="1">
        <f t="array" ref="AA152">Common_InputFunctions.Utility_DisplayArrayInTable(Fertiliser_SourceData.Fertiliser_Products_Data3(), FertiliserProducts[[#Headers],[Company]],61)</f>
        <v/>
      </c>
      <c r="AB152" s="148" t="str" cm="1">
        <f t="array" ref="AB152">Common_InputFunctions.Utility_DisplayArrayInTable(Fertiliser_SourceData.Fertiliser_Products_Data3(), FertiliserProducts[[#Headers],[Company]],61)</f>
        <v/>
      </c>
      <c r="AC152" s="148" t="str" cm="1">
        <f t="array" ref="AC152">Common_InputFunctions.Utility_DisplayArrayInTable(Fertiliser_SourceData.Fertiliser_Products_Data3(), FertiliserProducts[[#Headers],[Company]],61)</f>
        <v/>
      </c>
      <c r="AD152" s="148" t="str" cm="1">
        <f t="array" ref="AD152">Common_InputFunctions.Utility_DisplayArrayInTable(Fertiliser_SourceData.Fertiliser_Products_Data3(), FertiliserProducts[[#Headers],[Company]],61)</f>
        <v/>
      </c>
      <c r="AE152" s="148" t="str" cm="1">
        <f t="array" ref="AE152">Common_InputFunctions.Utility_DisplayArrayInTable(Fertiliser_SourceData.Fertiliser_Products_Data3(), FertiliserProducts[[#Headers],[Company]],61)</f>
        <v/>
      </c>
      <c r="AF152" s="148" t="str" cm="1">
        <f t="array" ref="AF152">Common_InputFunctions.Utility_DisplayArrayInTable(Fertiliser_SourceData.Fertiliser_Products_Data3(), FertiliserProducts[[#Headers],[Company]],61)</f>
        <v/>
      </c>
      <c r="AG152" s="148" t="str" cm="1">
        <f t="array" ref="AG152">Common_InputFunctions.Utility_DisplayArrayInTable(Fertiliser_SourceData.Fertiliser_Products_Data3(), FertiliserProducts[[#Headers],[Company]],61)</f>
        <v/>
      </c>
      <c r="AH152" s="148" t="str" cm="1">
        <f t="array" ref="AH152">Common_InputFunctions.Utility_DisplayArrayInTable(Fertiliser_SourceData.Fertiliser_Products_Data3(), FertiliserProducts[[#Headers],[Company]],61)</f>
        <v/>
      </c>
      <c r="AK152" s="1"/>
      <c r="AL152" s="1"/>
      <c r="AM152" s="1"/>
    </row>
    <row r="153" spans="1:39" ht="20.100000000000001" customHeight="1" x14ac:dyDescent="0.2">
      <c r="D153" s="148" t="str" cm="1">
        <f t="array" ref="D153">Common_InputFunctions.Utility_DisplayArrayInTable(Fertiliser_SourceData.Fertiliser_Products_Data3(), FertiliserProducts[[#Headers],[Company]],61)</f>
        <v>Campbells fertilisers Australia</v>
      </c>
      <c r="E153" s="148" t="str" cm="1">
        <f t="array" ref="E153">Common_InputFunctions.Utility_DisplayArrayInTable(Fertiliser_SourceData.Fertiliser_Products_Data3(), FertiliserProducts[[#Headers],[Company]],61)</f>
        <v>Solu-Sam</v>
      </c>
      <c r="F153" s="148" t="str" cm="1">
        <f t="array" ref="F153">Common_InputFunctions.Utility_DisplayArrayInTable(Fertiliser_SourceData.Fertiliser_Products_Data3(), FertiliserProducts[[#Headers],[Company]],61)</f>
        <v>kg</v>
      </c>
      <c r="G153" s="148" cm="1">
        <f t="array" ref="G153">Common_InputFunctions.Utility_DisplayArrayInTable(Fertiliser_SourceData.Fertiliser_Products_Data3(), FertiliserProducts[[#Headers],[Company]],61)</f>
        <v>1</v>
      </c>
      <c r="H153" s="148" t="str" cm="1">
        <f t="array" ref="H153">Common_InputFunctions.Utility_DisplayArrayInTable(Fertiliser_SourceData.Fertiliser_Products_Data3(), FertiliserProducts[[#Headers],[Company]],61)</f>
        <v/>
      </c>
      <c r="I153" s="148" t="str" cm="1">
        <f t="array" ref="I153">Common_InputFunctions.Utility_DisplayArrayInTable(Fertiliser_SourceData.Fertiliser_Products_Data3(), FertiliserProducts[[#Headers],[Company]],61)</f>
        <v/>
      </c>
      <c r="J153" s="148" t="str" cm="1">
        <f t="array" ref="J153">Common_InputFunctions.Utility_DisplayArrayInTable(Fertiliser_SourceData.Fertiliser_Products_Data3(), FertiliserProducts[[#Headers],[Company]],61)</f>
        <v/>
      </c>
      <c r="K153" s="148" cm="1">
        <f t="array" ref="K153">Common_InputFunctions.Utility_DisplayArrayInTable(Fertiliser_SourceData.Fertiliser_Products_Data3(), FertiliserProducts[[#Headers],[Company]],61)</f>
        <v>21</v>
      </c>
      <c r="L153" s="148" t="str" cm="1">
        <f t="array" ref="L153">Common_InputFunctions.Utility_DisplayArrayInTable(Fertiliser_SourceData.Fertiliser_Products_Data3(), FertiliserProducts[[#Headers],[Company]],61)</f>
        <v/>
      </c>
      <c r="M153" s="148" t="str" cm="1">
        <f t="array" ref="M153">Common_InputFunctions.Utility_DisplayArrayInTable(Fertiliser_SourceData.Fertiliser_Products_Data3(), FertiliserProducts[[#Headers],[Company]],61)</f>
        <v/>
      </c>
      <c r="N153" s="148" cm="1">
        <f t="array" ref="N153">Common_InputFunctions.Utility_DisplayArrayInTable(Fertiliser_SourceData.Fertiliser_Products_Data3(), FertiliserProducts[[#Headers],[Company]],61)</f>
        <v>24</v>
      </c>
      <c r="O153" s="148" t="str" cm="1">
        <f t="array" ref="O153">Common_InputFunctions.Utility_DisplayArrayInTable(Fertiliser_SourceData.Fertiliser_Products_Data3(), FertiliserProducts[[#Headers],[Company]],61)</f>
        <v>Sulphate of ammonia (SOA)</v>
      </c>
      <c r="P153" s="148" cm="1">
        <f t="array" ref="P153">Common_InputFunctions.Utility_DisplayArrayInTable(Fertiliser_SourceData.Fertiliser_Products_Data3(), FertiliserProducts[[#Headers],[Company]],61)</f>
        <v>1</v>
      </c>
      <c r="Q153" s="148" t="str" cm="1">
        <f t="array" ref="Q153">Common_InputFunctions.Utility_DisplayArrayInTable(Fertiliser_SourceData.Fertiliser_Products_Data3(), FertiliserProducts[[#Headers],[Company]],61)</f>
        <v/>
      </c>
      <c r="R153" s="148" t="str" cm="1">
        <f t="array" ref="R153">Common_InputFunctions.Utility_DisplayArrayInTable(Fertiliser_SourceData.Fertiliser_Products_Data3(), FertiliserProducts[[#Headers],[Company]],61)</f>
        <v/>
      </c>
      <c r="S153" s="148" t="str" cm="1">
        <f t="array" ref="S153">Common_InputFunctions.Utility_DisplayArrayInTable(Fertiliser_SourceData.Fertiliser_Products_Data3(), FertiliserProducts[[#Headers],[Company]],61)</f>
        <v/>
      </c>
      <c r="T153" s="148" t="str" cm="1">
        <f t="array" ref="T153">Common_InputFunctions.Utility_DisplayArrayInTable(Fertiliser_SourceData.Fertiliser_Products_Data3(), FertiliserProducts[[#Headers],[Company]],61)</f>
        <v/>
      </c>
      <c r="U153" s="148" t="str" cm="1">
        <f t="array" ref="U153">Common_InputFunctions.Utility_DisplayArrayInTable(Fertiliser_SourceData.Fertiliser_Products_Data3(), FertiliserProducts[[#Headers],[Company]],61)</f>
        <v/>
      </c>
      <c r="V153" s="148" t="str" cm="1">
        <f t="array" ref="V153">Common_InputFunctions.Utility_DisplayArrayInTable(Fertiliser_SourceData.Fertiliser_Products_Data3(), FertiliserProducts[[#Headers],[Company]],61)</f>
        <v/>
      </c>
      <c r="W153" s="148" t="str" cm="1">
        <f t="array" ref="W153">Common_InputFunctions.Utility_DisplayArrayInTable(Fertiliser_SourceData.Fertiliser_Products_Data3(), FertiliserProducts[[#Headers],[Company]],61)</f>
        <v/>
      </c>
      <c r="X153" s="148" t="str" cm="1">
        <f t="array" ref="X153">Common_InputFunctions.Utility_DisplayArrayInTable(Fertiliser_SourceData.Fertiliser_Products_Data3(), FertiliserProducts[[#Headers],[Company]],61)</f>
        <v/>
      </c>
      <c r="Y153" s="148" t="str" cm="1">
        <f t="array" ref="Y153">Common_InputFunctions.Utility_DisplayArrayInTable(Fertiliser_SourceData.Fertiliser_Products_Data3(), FertiliserProducts[[#Headers],[Company]],61)</f>
        <v/>
      </c>
      <c r="Z153" s="148" t="str" cm="1">
        <f t="array" ref="Z153">Common_InputFunctions.Utility_DisplayArrayInTable(Fertiliser_SourceData.Fertiliser_Products_Data3(), FertiliserProducts[[#Headers],[Company]],61)</f>
        <v/>
      </c>
      <c r="AA153" s="148" t="str" cm="1">
        <f t="array" ref="AA153">Common_InputFunctions.Utility_DisplayArrayInTable(Fertiliser_SourceData.Fertiliser_Products_Data3(), FertiliserProducts[[#Headers],[Company]],61)</f>
        <v/>
      </c>
      <c r="AB153" s="148" t="str" cm="1">
        <f t="array" ref="AB153">Common_InputFunctions.Utility_DisplayArrayInTable(Fertiliser_SourceData.Fertiliser_Products_Data3(), FertiliserProducts[[#Headers],[Company]],61)</f>
        <v/>
      </c>
      <c r="AC153" s="148" t="str" cm="1">
        <f t="array" ref="AC153">Common_InputFunctions.Utility_DisplayArrayInTable(Fertiliser_SourceData.Fertiliser_Products_Data3(), FertiliserProducts[[#Headers],[Company]],61)</f>
        <v/>
      </c>
      <c r="AD153" s="148" t="str" cm="1">
        <f t="array" ref="AD153">Common_InputFunctions.Utility_DisplayArrayInTable(Fertiliser_SourceData.Fertiliser_Products_Data3(), FertiliserProducts[[#Headers],[Company]],61)</f>
        <v/>
      </c>
      <c r="AE153" s="148" t="str" cm="1">
        <f t="array" ref="AE153">Common_InputFunctions.Utility_DisplayArrayInTable(Fertiliser_SourceData.Fertiliser_Products_Data3(), FertiliserProducts[[#Headers],[Company]],61)</f>
        <v/>
      </c>
      <c r="AF153" s="148" t="str" cm="1">
        <f t="array" ref="AF153">Common_InputFunctions.Utility_DisplayArrayInTable(Fertiliser_SourceData.Fertiliser_Products_Data3(), FertiliserProducts[[#Headers],[Company]],61)</f>
        <v/>
      </c>
      <c r="AG153" s="148" t="str" cm="1">
        <f t="array" ref="AG153">Common_InputFunctions.Utility_DisplayArrayInTable(Fertiliser_SourceData.Fertiliser_Products_Data3(), FertiliserProducts[[#Headers],[Company]],61)</f>
        <v/>
      </c>
      <c r="AH153" s="148" t="str" cm="1">
        <f t="array" ref="AH153">Common_InputFunctions.Utility_DisplayArrayInTable(Fertiliser_SourceData.Fertiliser_Products_Data3(), FertiliserProducts[[#Headers],[Company]],61)</f>
        <v/>
      </c>
      <c r="AK153" s="1"/>
      <c r="AL153" s="1"/>
      <c r="AM153" s="1"/>
    </row>
    <row r="154" spans="1:39" ht="20.100000000000001" customHeight="1" x14ac:dyDescent="0.2">
      <c r="D154" s="148" t="str" cm="1">
        <f t="array" ref="D154">Common_InputFunctions.Utility_DisplayArrayInTable(Fertiliser_SourceData.Fertiliser_Products_Data3(), FertiliserProducts[[#Headers],[Company]],61)</f>
        <v>Campbells fertilisers Australia</v>
      </c>
      <c r="E154" s="148" t="str" cm="1">
        <f t="array" ref="E154">Common_InputFunctions.Utility_DisplayArrayInTable(Fertiliser_SourceData.Fertiliser_Products_Data3(), FertiliserProducts[[#Headers],[Company]],61)</f>
        <v>Rustica Plus</v>
      </c>
      <c r="F154" s="148" t="str" cm="1">
        <f t="array" ref="F154">Common_InputFunctions.Utility_DisplayArrayInTable(Fertiliser_SourceData.Fertiliser_Products_Data3(), FertiliserProducts[[#Headers],[Company]],61)</f>
        <v>kg</v>
      </c>
      <c r="G154" s="148" cm="1">
        <f t="array" ref="G154">Common_InputFunctions.Utility_DisplayArrayInTable(Fertiliser_SourceData.Fertiliser_Products_Data3(), FertiliserProducts[[#Headers],[Company]],61)</f>
        <v>1</v>
      </c>
      <c r="H154" s="148" t="str" cm="1">
        <f t="array" ref="H154">Common_InputFunctions.Utility_DisplayArrayInTable(Fertiliser_SourceData.Fertiliser_Products_Data3(), FertiliserProducts[[#Headers],[Company]],61)</f>
        <v/>
      </c>
      <c r="I154" s="148" t="str" cm="1">
        <f t="array" ref="I154">Common_InputFunctions.Utility_DisplayArrayInTable(Fertiliser_SourceData.Fertiliser_Products_Data3(), FertiliserProducts[[#Headers],[Company]],61)</f>
        <v/>
      </c>
      <c r="J154" s="148" t="str" cm="1">
        <f t="array" ref="J154">Common_InputFunctions.Utility_DisplayArrayInTable(Fertiliser_SourceData.Fertiliser_Products_Data3(), FertiliserProducts[[#Headers],[Company]],61)</f>
        <v/>
      </c>
      <c r="K154" s="148" cm="1">
        <f t="array" ref="K154">Common_InputFunctions.Utility_DisplayArrayInTable(Fertiliser_SourceData.Fertiliser_Products_Data3(), FertiliserProducts[[#Headers],[Company]],61)</f>
        <v>12</v>
      </c>
      <c r="L154" s="148" cm="1">
        <f t="array" ref="L154">Common_InputFunctions.Utility_DisplayArrayInTable(Fertiliser_SourceData.Fertiliser_Products_Data3(), FertiliserProducts[[#Headers],[Company]],61)</f>
        <v>5</v>
      </c>
      <c r="M154" s="148" cm="1">
        <f t="array" ref="M154">Common_InputFunctions.Utility_DisplayArrayInTable(Fertiliser_SourceData.Fertiliser_Products_Data3(), FertiliserProducts[[#Headers],[Company]],61)</f>
        <v>14</v>
      </c>
      <c r="N154" s="148" cm="1">
        <f t="array" ref="N154">Common_InputFunctions.Utility_DisplayArrayInTable(Fertiliser_SourceData.Fertiliser_Products_Data3(), FertiliserProducts[[#Headers],[Company]],61)</f>
        <v>9.6999999999999993</v>
      </c>
      <c r="O154" s="148" t="str" cm="1">
        <f t="array" ref="O154">Common_InputFunctions.Utility_DisplayArrayInTable(Fertiliser_SourceData.Fertiliser_Products_Data3(), FertiliserProducts[[#Headers],[Company]],61)</f>
        <v>Potassium - Generic</v>
      </c>
      <c r="P154" s="148" cm="1">
        <f t="array" ref="P154">Common_InputFunctions.Utility_DisplayArrayInTable(Fertiliser_SourceData.Fertiliser_Products_Data3(), FertiliserProducts[[#Headers],[Company]],61)</f>
        <v>0.14000000000000001</v>
      </c>
      <c r="Q154" s="148" t="str" cm="1">
        <f t="array" ref="Q154">Common_InputFunctions.Utility_DisplayArrayInTable(Fertiliser_SourceData.Fertiliser_Products_Data3(), FertiliserProducts[[#Headers],[Company]],61)</f>
        <v>Sulfur - Generic</v>
      </c>
      <c r="R154" s="148" cm="1">
        <f t="array" ref="R154">Common_InputFunctions.Utility_DisplayArrayInTable(Fertiliser_SourceData.Fertiliser_Products_Data3(), FertiliserProducts[[#Headers],[Company]],61)</f>
        <v>9.7000000000000003E-2</v>
      </c>
      <c r="S154" s="148" t="str" cm="1">
        <f t="array" ref="S154">Common_InputFunctions.Utility_DisplayArrayInTable(Fertiliser_SourceData.Fertiliser_Products_Data3(), FertiliserProducts[[#Headers],[Company]],61)</f>
        <v>Nitrogen - Nitrate</v>
      </c>
      <c r="T154" s="148" cm="1">
        <f t="array" ref="T154">Common_InputFunctions.Utility_DisplayArrayInTable(Fertiliser_SourceData.Fertiliser_Products_Data3(), FertiliserProducts[[#Headers],[Company]],61)</f>
        <v>0.06</v>
      </c>
      <c r="U154" s="148" t="str" cm="1">
        <f t="array" ref="U154">Common_InputFunctions.Utility_DisplayArrayInTable(Fertiliser_SourceData.Fertiliser_Products_Data3(), FertiliserProducts[[#Headers],[Company]],61)</f>
        <v>Nitrogen - Ammoniacal</v>
      </c>
      <c r="V154" s="148" cm="1">
        <f t="array" ref="V154">Common_InputFunctions.Utility_DisplayArrayInTable(Fertiliser_SourceData.Fertiliser_Products_Data3(), FertiliserProducts[[#Headers],[Company]],61)</f>
        <v>0.06</v>
      </c>
      <c r="W154" s="148" t="str" cm="1">
        <f t="array" ref="W154">Common_InputFunctions.Utility_DisplayArrayInTable(Fertiliser_SourceData.Fertiliser_Products_Data3(), FertiliserProducts[[#Headers],[Company]],61)</f>
        <v>Phosphorus - Generic</v>
      </c>
      <c r="X154" s="148" cm="1">
        <f t="array" ref="X154">Common_InputFunctions.Utility_DisplayArrayInTable(Fertiliser_SourceData.Fertiliser_Products_Data3(), FertiliserProducts[[#Headers],[Company]],61)</f>
        <v>0.05</v>
      </c>
      <c r="Y154" s="148" t="str" cm="1">
        <f t="array" ref="Y154">Common_InputFunctions.Utility_DisplayArrayInTable(Fertiliser_SourceData.Fertiliser_Products_Data3(), FertiliserProducts[[#Headers],[Company]],61)</f>
        <v>Calcium</v>
      </c>
      <c r="Z154" s="148" cm="1">
        <f t="array" ref="Z154">Common_InputFunctions.Utility_DisplayArrayInTable(Fertiliser_SourceData.Fertiliser_Products_Data3(), FertiliserProducts[[#Headers],[Company]],61)</f>
        <v>3.1E-2</v>
      </c>
      <c r="AA154" s="148" t="str" cm="1">
        <f t="array" ref="AA154">Common_InputFunctions.Utility_DisplayArrayInTable(Fertiliser_SourceData.Fertiliser_Products_Data3(), FertiliserProducts[[#Headers],[Company]],61)</f>
        <v>Magnesium</v>
      </c>
      <c r="AB154" s="148" cm="1">
        <f t="array" ref="AB154">Common_InputFunctions.Utility_DisplayArrayInTable(Fertiliser_SourceData.Fertiliser_Products_Data3(), FertiliserProducts[[#Headers],[Company]],61)</f>
        <v>1.2E-2</v>
      </c>
      <c r="AC154" s="148" t="str" cm="1">
        <f t="array" ref="AC154">Common_InputFunctions.Utility_DisplayArrayInTable(Fertiliser_SourceData.Fertiliser_Products_Data3(), FertiliserProducts[[#Headers],[Company]],61)</f>
        <v>Zinc</v>
      </c>
      <c r="AD154" s="148" cm="1">
        <f t="array" ref="AD154">Common_InputFunctions.Utility_DisplayArrayInTable(Fertiliser_SourceData.Fertiliser_Products_Data3(), FertiliserProducts[[#Headers],[Company]],61)</f>
        <v>1E-3</v>
      </c>
      <c r="AE154" s="148" t="str" cm="1">
        <f t="array" ref="AE154">Common_InputFunctions.Utility_DisplayArrayInTable(Fertiliser_SourceData.Fertiliser_Products_Data3(), FertiliserProducts[[#Headers],[Company]],61)</f>
        <v>Boron</v>
      </c>
      <c r="AF154" s="148" cm="1">
        <f t="array" ref="AF154">Common_InputFunctions.Utility_DisplayArrayInTable(Fertiliser_SourceData.Fertiliser_Products_Data3(), FertiliserProducts[[#Headers],[Company]],61)</f>
        <v>2.0000000000000001E-4</v>
      </c>
      <c r="AG154" s="148" t="str" cm="1">
        <f t="array" ref="AG154">Common_InputFunctions.Utility_DisplayArrayInTable(Fertiliser_SourceData.Fertiliser_Products_Data3(), FertiliserProducts[[#Headers],[Company]],61)</f>
        <v/>
      </c>
      <c r="AH154" s="148" t="str" cm="1">
        <f t="array" ref="AH154">Common_InputFunctions.Utility_DisplayArrayInTable(Fertiliser_SourceData.Fertiliser_Products_Data3(), FertiliserProducts[[#Headers],[Company]],61)</f>
        <v/>
      </c>
      <c r="AK154" s="1"/>
    </row>
    <row r="155" spans="1:39" ht="20.100000000000001" customHeight="1" x14ac:dyDescent="0.2">
      <c r="D155" s="148" t="str" cm="1">
        <f t="array" ref="D155">Common_InputFunctions.Utility_DisplayArrayInTable(Fertiliser_SourceData.Fertiliser_Products_Data3(), FertiliserProducts[[#Headers],[Company]],61)</f>
        <v>Campbells fertilisers Australia</v>
      </c>
      <c r="E155" s="148" t="str" cm="1">
        <f t="array" ref="E155">Common_InputFunctions.Utility_DisplayArrayInTable(Fertiliser_SourceData.Fertiliser_Products_Data3(), FertiliserProducts[[#Headers],[Company]],61)</f>
        <v>Platinum Plus</v>
      </c>
      <c r="F155" s="148" t="str" cm="1">
        <f t="array" ref="F155">Common_InputFunctions.Utility_DisplayArrayInTable(Fertiliser_SourceData.Fertiliser_Products_Data3(), FertiliserProducts[[#Headers],[Company]],61)</f>
        <v>kg</v>
      </c>
      <c r="G155" s="148" cm="1">
        <f t="array" ref="G155">Common_InputFunctions.Utility_DisplayArrayInTable(Fertiliser_SourceData.Fertiliser_Products_Data3(), FertiliserProducts[[#Headers],[Company]],61)</f>
        <v>1</v>
      </c>
      <c r="H155" s="148" t="str" cm="1">
        <f t="array" ref="H155">Common_InputFunctions.Utility_DisplayArrayInTable(Fertiliser_SourceData.Fertiliser_Products_Data3(), FertiliserProducts[[#Headers],[Company]],61)</f>
        <v/>
      </c>
      <c r="I155" s="148" t="str" cm="1">
        <f t="array" ref="I155">Common_InputFunctions.Utility_DisplayArrayInTable(Fertiliser_SourceData.Fertiliser_Products_Data3(), FertiliserProducts[[#Headers],[Company]],61)</f>
        <v/>
      </c>
      <c r="J155" s="148" t="str" cm="1">
        <f t="array" ref="J155">Common_InputFunctions.Utility_DisplayArrayInTable(Fertiliser_SourceData.Fertiliser_Products_Data3(), FertiliserProducts[[#Headers],[Company]],61)</f>
        <v/>
      </c>
      <c r="K155" s="148" cm="1">
        <f t="array" ref="K155">Common_InputFunctions.Utility_DisplayArrayInTable(Fertiliser_SourceData.Fertiliser_Products_Data3(), FertiliserProducts[[#Headers],[Company]],61)</f>
        <v>10</v>
      </c>
      <c r="L155" s="148" cm="1">
        <f t="array" ref="L155">Common_InputFunctions.Utility_DisplayArrayInTable(Fertiliser_SourceData.Fertiliser_Products_Data3(), FertiliserProducts[[#Headers],[Company]],61)</f>
        <v>11</v>
      </c>
      <c r="M155" s="148" cm="1">
        <f t="array" ref="M155">Common_InputFunctions.Utility_DisplayArrayInTable(Fertiliser_SourceData.Fertiliser_Products_Data3(), FertiliserProducts[[#Headers],[Company]],61)</f>
        <v>10</v>
      </c>
      <c r="N155" s="148" cm="1">
        <f t="array" ref="N155">Common_InputFunctions.Utility_DisplayArrayInTable(Fertiliser_SourceData.Fertiliser_Products_Data3(), FertiliserProducts[[#Headers],[Company]],61)</f>
        <v>6</v>
      </c>
      <c r="O155" s="148" t="str" cm="1">
        <f t="array" ref="O155">Common_InputFunctions.Utility_DisplayArrayInTable(Fertiliser_SourceData.Fertiliser_Products_Data3(), FertiliserProducts[[#Headers],[Company]],61)</f>
        <v>Phosphorus - Generic</v>
      </c>
      <c r="P155" s="148" cm="1">
        <f t="array" ref="P155">Common_InputFunctions.Utility_DisplayArrayInTable(Fertiliser_SourceData.Fertiliser_Products_Data3(), FertiliserProducts[[#Headers],[Company]],61)</f>
        <v>0.11</v>
      </c>
      <c r="Q155" s="148" t="str" cm="1">
        <f t="array" ref="Q155">Common_InputFunctions.Utility_DisplayArrayInTable(Fertiliser_SourceData.Fertiliser_Products_Data3(), FertiliserProducts[[#Headers],[Company]],61)</f>
        <v>Potassium - Generic</v>
      </c>
      <c r="R155" s="148" cm="1">
        <f t="array" ref="R155">Common_InputFunctions.Utility_DisplayArrayInTable(Fertiliser_SourceData.Fertiliser_Products_Data3(), FertiliserProducts[[#Headers],[Company]],61)</f>
        <v>0.1</v>
      </c>
      <c r="S155" s="148" t="str" cm="1">
        <f t="array" ref="S155">Common_InputFunctions.Utility_DisplayArrayInTable(Fertiliser_SourceData.Fertiliser_Products_Data3(), FertiliserProducts[[#Headers],[Company]],61)</f>
        <v>Sulfur - Generic</v>
      </c>
      <c r="T155" s="148" cm="1">
        <f t="array" ref="T155">Common_InputFunctions.Utility_DisplayArrayInTable(Fertiliser_SourceData.Fertiliser_Products_Data3(), FertiliserProducts[[#Headers],[Company]],61)</f>
        <v>0.06</v>
      </c>
      <c r="U155" s="148" t="str" cm="1">
        <f t="array" ref="U155">Common_InputFunctions.Utility_DisplayArrayInTable(Fertiliser_SourceData.Fertiliser_Products_Data3(), FertiliserProducts[[#Headers],[Company]],61)</f>
        <v>Nitrogen - Nitrate</v>
      </c>
      <c r="V155" s="148" cm="1">
        <f t="array" ref="V155">Common_InputFunctions.Utility_DisplayArrayInTable(Fertiliser_SourceData.Fertiliser_Products_Data3(), FertiliserProducts[[#Headers],[Company]],61)</f>
        <v>0.05</v>
      </c>
      <c r="W155" s="148" t="str" cm="1">
        <f t="array" ref="W155">Common_InputFunctions.Utility_DisplayArrayInTable(Fertiliser_SourceData.Fertiliser_Products_Data3(), FertiliserProducts[[#Headers],[Company]],61)</f>
        <v>Nitrogen - Ammoniacal</v>
      </c>
      <c r="X155" s="148" cm="1">
        <f t="array" ref="X155">Common_InputFunctions.Utility_DisplayArrayInTable(Fertiliser_SourceData.Fertiliser_Products_Data3(), FertiliserProducts[[#Headers],[Company]],61)</f>
        <v>0.05</v>
      </c>
      <c r="Y155" s="148" t="str" cm="1">
        <f t="array" ref="Y155">Common_InputFunctions.Utility_DisplayArrayInTable(Fertiliser_SourceData.Fertiliser_Products_Data3(), FertiliserProducts[[#Headers],[Company]],61)</f>
        <v>Calcium</v>
      </c>
      <c r="Z155" s="148" cm="1">
        <f t="array" ref="Z155">Common_InputFunctions.Utility_DisplayArrayInTable(Fertiliser_SourceData.Fertiliser_Products_Data3(), FertiliserProducts[[#Headers],[Company]],61)</f>
        <v>4.2999999999999997E-2</v>
      </c>
      <c r="AA155" s="148" t="str" cm="1">
        <f t="array" ref="AA155">Common_InputFunctions.Utility_DisplayArrayInTable(Fertiliser_SourceData.Fertiliser_Products_Data3(), FertiliserProducts[[#Headers],[Company]],61)</f>
        <v>Magnesium</v>
      </c>
      <c r="AB155" s="148" cm="1">
        <f t="array" ref="AB155">Common_InputFunctions.Utility_DisplayArrayInTable(Fertiliser_SourceData.Fertiliser_Products_Data3(), FertiliserProducts[[#Headers],[Company]],61)</f>
        <v>1.2E-2</v>
      </c>
      <c r="AC155" s="148" t="str" cm="1">
        <f t="array" ref="AC155">Common_InputFunctions.Utility_DisplayArrayInTable(Fertiliser_SourceData.Fertiliser_Products_Data3(), FertiliserProducts[[#Headers],[Company]],61)</f>
        <v>Zinc</v>
      </c>
      <c r="AD155" s="148" cm="1">
        <f t="array" ref="AD155">Common_InputFunctions.Utility_DisplayArrayInTable(Fertiliser_SourceData.Fertiliser_Products_Data3(), FertiliserProducts[[#Headers],[Company]],61)</f>
        <v>3.5999999999999999E-3</v>
      </c>
      <c r="AE155" s="148" t="str" cm="1">
        <f t="array" ref="AE155">Common_InputFunctions.Utility_DisplayArrayInTable(Fertiliser_SourceData.Fertiliser_Products_Data3(), FertiliserProducts[[#Headers],[Company]],61)</f>
        <v>Boron</v>
      </c>
      <c r="AF155" s="148" cm="1">
        <f t="array" ref="AF155">Common_InputFunctions.Utility_DisplayArrayInTable(Fertiliser_SourceData.Fertiliser_Products_Data3(), FertiliserProducts[[#Headers],[Company]],61)</f>
        <v>1E-3</v>
      </c>
      <c r="AG155" s="148" t="str" cm="1">
        <f t="array" ref="AG155">Common_InputFunctions.Utility_DisplayArrayInTable(Fertiliser_SourceData.Fertiliser_Products_Data3(), FertiliserProducts[[#Headers],[Company]],61)</f>
        <v/>
      </c>
      <c r="AH155" s="148" t="str" cm="1">
        <f t="array" ref="AH155">Common_InputFunctions.Utility_DisplayArrayInTable(Fertiliser_SourceData.Fertiliser_Products_Data3(), FertiliserProducts[[#Headers],[Company]],61)</f>
        <v/>
      </c>
      <c r="AK155" s="1"/>
    </row>
    <row r="156" spans="1:39" ht="20.100000000000001" customHeight="1" x14ac:dyDescent="0.2">
      <c r="D156" s="148" t="str" cm="1">
        <f t="array" ref="D156">Common_InputFunctions.Utility_DisplayArrayInTable(Fertiliser_SourceData.Fertiliser_Products_Data3(), FertiliserProducts[[#Headers],[Company]],61)</f>
        <v>Campbells fertilisers Australia</v>
      </c>
      <c r="E156" s="148" t="str" cm="1">
        <f t="array" ref="E156">Common_InputFunctions.Utility_DisplayArrayInTable(Fertiliser_SourceData.Fertiliser_Products_Data3(), FertiliserProducts[[#Headers],[Company]],61)</f>
        <v>Tropika</v>
      </c>
      <c r="F156" s="148" t="str" cm="1">
        <f t="array" ref="F156">Common_InputFunctions.Utility_DisplayArrayInTable(Fertiliser_SourceData.Fertiliser_Products_Data3(), FertiliserProducts[[#Headers],[Company]],61)</f>
        <v>kg</v>
      </c>
      <c r="G156" s="148" cm="1">
        <f t="array" ref="G156">Common_InputFunctions.Utility_DisplayArrayInTable(Fertiliser_SourceData.Fertiliser_Products_Data3(), FertiliserProducts[[#Headers],[Company]],61)</f>
        <v>1</v>
      </c>
      <c r="H156" s="148" t="str" cm="1">
        <f t="array" ref="H156">Common_InputFunctions.Utility_DisplayArrayInTable(Fertiliser_SourceData.Fertiliser_Products_Data3(), FertiliserProducts[[#Headers],[Company]],61)</f>
        <v/>
      </c>
      <c r="I156" s="148" t="str" cm="1">
        <f t="array" ref="I156">Common_InputFunctions.Utility_DisplayArrayInTable(Fertiliser_SourceData.Fertiliser_Products_Data3(), FertiliserProducts[[#Headers],[Company]],61)</f>
        <v/>
      </c>
      <c r="J156" s="148" t="str" cm="1">
        <f t="array" ref="J156">Common_InputFunctions.Utility_DisplayArrayInTable(Fertiliser_SourceData.Fertiliser_Products_Data3(), FertiliserProducts[[#Headers],[Company]],61)</f>
        <v/>
      </c>
      <c r="K156" s="148" cm="1">
        <f t="array" ref="K156">Common_InputFunctions.Utility_DisplayArrayInTable(Fertiliser_SourceData.Fertiliser_Products_Data3(), FertiliserProducts[[#Headers],[Company]],61)</f>
        <v>11</v>
      </c>
      <c r="L156" s="148" cm="1">
        <f t="array" ref="L156">Common_InputFunctions.Utility_DisplayArrayInTable(Fertiliser_SourceData.Fertiliser_Products_Data3(), FertiliserProducts[[#Headers],[Company]],61)</f>
        <v>2.6</v>
      </c>
      <c r="M156" s="148" cm="1">
        <f t="array" ref="M156">Common_InputFunctions.Utility_DisplayArrayInTable(Fertiliser_SourceData.Fertiliser_Products_Data3(), FertiliserProducts[[#Headers],[Company]],61)</f>
        <v>20.8</v>
      </c>
      <c r="N156" s="148" cm="1">
        <f t="array" ref="N156">Common_InputFunctions.Utility_DisplayArrayInTable(Fertiliser_SourceData.Fertiliser_Products_Data3(), FertiliserProducts[[#Headers],[Company]],61)</f>
        <v>4</v>
      </c>
      <c r="O156" s="148" t="str" cm="1">
        <f t="array" ref="O156">Common_InputFunctions.Utility_DisplayArrayInTable(Fertiliser_SourceData.Fertiliser_Products_Data3(), FertiliserProducts[[#Headers],[Company]],61)</f>
        <v>Nitrogen - Nitrate</v>
      </c>
      <c r="P156" s="148" cm="1">
        <f t="array" ref="P156">Common_InputFunctions.Utility_DisplayArrayInTable(Fertiliser_SourceData.Fertiliser_Products_Data3(), FertiliserProducts[[#Headers],[Company]],61)</f>
        <v>5.5E-2</v>
      </c>
      <c r="Q156" s="148" t="str" cm="1">
        <f t="array" ref="Q156">Common_InputFunctions.Utility_DisplayArrayInTable(Fertiliser_SourceData.Fertiliser_Products_Data3(), FertiliserProducts[[#Headers],[Company]],61)</f>
        <v>Nitrogen - Ammoniacal</v>
      </c>
      <c r="R156" s="148" cm="1">
        <f t="array" ref="R156">Common_InputFunctions.Utility_DisplayArrayInTable(Fertiliser_SourceData.Fertiliser_Products_Data3(), FertiliserProducts[[#Headers],[Company]],61)</f>
        <v>5.5E-2</v>
      </c>
      <c r="S156" s="148" t="str" cm="1">
        <f t="array" ref="S156">Common_InputFunctions.Utility_DisplayArrayInTable(Fertiliser_SourceData.Fertiliser_Products_Data3(), FertiliserProducts[[#Headers],[Company]],61)</f>
        <v>Phosphorus - Generic</v>
      </c>
      <c r="T156" s="148" cm="1">
        <f t="array" ref="T156">Common_InputFunctions.Utility_DisplayArrayInTable(Fertiliser_SourceData.Fertiliser_Products_Data3(), FertiliserProducts[[#Headers],[Company]],61)</f>
        <v>2.5999999999999999E-2</v>
      </c>
      <c r="U156" s="148" t="str" cm="1">
        <f t="array" ref="U156">Common_InputFunctions.Utility_DisplayArrayInTable(Fertiliser_SourceData.Fertiliser_Products_Data3(), FertiliserProducts[[#Headers],[Company]],61)</f>
        <v>Potassium - Generic</v>
      </c>
      <c r="V156" s="148" cm="1">
        <f t="array" ref="V156">Common_InputFunctions.Utility_DisplayArrayInTable(Fertiliser_SourceData.Fertiliser_Products_Data3(), FertiliserProducts[[#Headers],[Company]],61)</f>
        <v>0.20799999999999999</v>
      </c>
      <c r="W156" s="148" t="str" cm="1">
        <f t="array" ref="W156">Common_InputFunctions.Utility_DisplayArrayInTable(Fertiliser_SourceData.Fertiliser_Products_Data3(), FertiliserProducts[[#Headers],[Company]],61)</f>
        <v>Sulfur - Generic</v>
      </c>
      <c r="X156" s="148" cm="1">
        <f t="array" ref="X156">Common_InputFunctions.Utility_DisplayArrayInTable(Fertiliser_SourceData.Fertiliser_Products_Data3(), FertiliserProducts[[#Headers],[Company]],61)</f>
        <v>0.04</v>
      </c>
      <c r="Y156" s="148" t="str" cm="1">
        <f t="array" ref="Y156">Common_InputFunctions.Utility_DisplayArrayInTable(Fertiliser_SourceData.Fertiliser_Products_Data3(), FertiliserProducts[[#Headers],[Company]],61)</f>
        <v>Magnesium</v>
      </c>
      <c r="Z156" s="148" cm="1">
        <f t="array" ref="Z156">Common_InputFunctions.Utility_DisplayArrayInTable(Fertiliser_SourceData.Fertiliser_Products_Data3(), FertiliserProducts[[#Headers],[Company]],61)</f>
        <v>2.4E-2</v>
      </c>
      <c r="AA156" s="148" t="str" cm="1">
        <f t="array" ref="AA156">Common_InputFunctions.Utility_DisplayArrayInTable(Fertiliser_SourceData.Fertiliser_Products_Data3(), FertiliserProducts[[#Headers],[Company]],61)</f>
        <v/>
      </c>
      <c r="AB156" s="148" t="str" cm="1">
        <f t="array" ref="AB156">Common_InputFunctions.Utility_DisplayArrayInTable(Fertiliser_SourceData.Fertiliser_Products_Data3(), FertiliserProducts[[#Headers],[Company]],61)</f>
        <v/>
      </c>
      <c r="AC156" s="148" t="str" cm="1">
        <f t="array" ref="AC156">Common_InputFunctions.Utility_DisplayArrayInTable(Fertiliser_SourceData.Fertiliser_Products_Data3(), FertiliserProducts[[#Headers],[Company]],61)</f>
        <v/>
      </c>
      <c r="AD156" s="148" t="str" cm="1">
        <f t="array" ref="AD156">Common_InputFunctions.Utility_DisplayArrayInTable(Fertiliser_SourceData.Fertiliser_Products_Data3(), FertiliserProducts[[#Headers],[Company]],61)</f>
        <v/>
      </c>
      <c r="AE156" s="148" t="str" cm="1">
        <f t="array" ref="AE156">Common_InputFunctions.Utility_DisplayArrayInTable(Fertiliser_SourceData.Fertiliser_Products_Data3(), FertiliserProducts[[#Headers],[Company]],61)</f>
        <v/>
      </c>
      <c r="AF156" s="148" t="str" cm="1">
        <f t="array" ref="AF156">Common_InputFunctions.Utility_DisplayArrayInTable(Fertiliser_SourceData.Fertiliser_Products_Data3(), FertiliserProducts[[#Headers],[Company]],61)</f>
        <v/>
      </c>
      <c r="AG156" s="148" t="str" cm="1">
        <f t="array" ref="AG156">Common_InputFunctions.Utility_DisplayArrayInTable(Fertiliser_SourceData.Fertiliser_Products_Data3(), FertiliserProducts[[#Headers],[Company]],61)</f>
        <v/>
      </c>
      <c r="AH156" s="148" t="str" cm="1">
        <f t="array" ref="AH156">Common_InputFunctions.Utility_DisplayArrayInTable(Fertiliser_SourceData.Fertiliser_Products_Data3(), FertiliserProducts[[#Headers],[Company]],61)</f>
        <v/>
      </c>
      <c r="AK156" s="1"/>
    </row>
    <row r="157" spans="1:39" ht="20.100000000000001" customHeight="1" x14ac:dyDescent="0.2">
      <c r="D157" s="148" t="str" cm="1">
        <f t="array" ref="D157">Common_InputFunctions.Utility_DisplayArrayInTable(Fertiliser_SourceData.Fertiliser_Products_Data3(), FertiliserProducts[[#Headers],[Company]],61)</f>
        <v>Campbells fertilisers Australia</v>
      </c>
      <c r="E157" s="148" t="str" cm="1">
        <f t="array" ref="E157">Common_InputFunctions.Utility_DisplayArrayInTable(Fertiliser_SourceData.Fertiliser_Products_Data3(), FertiliserProducts[[#Headers],[Company]],61)</f>
        <v>Rustica Nergetic</v>
      </c>
      <c r="F157" s="148" t="str" cm="1">
        <f t="array" ref="F157">Common_InputFunctions.Utility_DisplayArrayInTable(Fertiliser_SourceData.Fertiliser_Products_Data3(), FertiliserProducts[[#Headers],[Company]],61)</f>
        <v>kg</v>
      </c>
      <c r="G157" s="148" cm="1">
        <f t="array" ref="G157">Common_InputFunctions.Utility_DisplayArrayInTable(Fertiliser_SourceData.Fertiliser_Products_Data3(), FertiliserProducts[[#Headers],[Company]],61)</f>
        <v>1</v>
      </c>
      <c r="H157" s="148" t="str" cm="1">
        <f t="array" ref="H157">Common_InputFunctions.Utility_DisplayArrayInTable(Fertiliser_SourceData.Fertiliser_Products_Data3(), FertiliserProducts[[#Headers],[Company]],61)</f>
        <v/>
      </c>
      <c r="I157" s="148" t="str" cm="1">
        <f t="array" ref="I157">Common_InputFunctions.Utility_DisplayArrayInTable(Fertiliser_SourceData.Fertiliser_Products_Data3(), FertiliserProducts[[#Headers],[Company]],61)</f>
        <v/>
      </c>
      <c r="J157" s="148" t="str" cm="1">
        <f t="array" ref="J157">Common_InputFunctions.Utility_DisplayArrayInTable(Fertiliser_SourceData.Fertiliser_Products_Data3(), FertiliserProducts[[#Headers],[Company]],61)</f>
        <v/>
      </c>
      <c r="K157" s="148" cm="1">
        <f t="array" ref="K157">Common_InputFunctions.Utility_DisplayArrayInTable(Fertiliser_SourceData.Fertiliser_Products_Data3(), FertiliserProducts[[#Headers],[Company]],61)</f>
        <v>12</v>
      </c>
      <c r="L157" s="148" cm="1">
        <f t="array" ref="L157">Common_InputFunctions.Utility_DisplayArrayInTable(Fertiliser_SourceData.Fertiliser_Products_Data3(), FertiliserProducts[[#Headers],[Company]],61)</f>
        <v>5.2</v>
      </c>
      <c r="M157" s="148" cm="1">
        <f t="array" ref="M157">Common_InputFunctions.Utility_DisplayArrayInTable(Fertiliser_SourceData.Fertiliser_Products_Data3(), FertiliserProducts[[#Headers],[Company]],61)</f>
        <v>14.1</v>
      </c>
      <c r="N157" s="148" cm="1">
        <f t="array" ref="N157">Common_InputFunctions.Utility_DisplayArrayInTable(Fertiliser_SourceData.Fertiliser_Products_Data3(), FertiliserProducts[[#Headers],[Company]],61)</f>
        <v>9.6</v>
      </c>
      <c r="O157" s="148" t="str" cm="1">
        <f t="array" ref="O157">Common_InputFunctions.Utility_DisplayArrayInTable(Fertiliser_SourceData.Fertiliser_Products_Data3(), FertiliserProducts[[#Headers],[Company]],61)</f>
        <v>Potassium - Generic</v>
      </c>
      <c r="P157" s="148" cm="1">
        <f t="array" ref="P157">Common_InputFunctions.Utility_DisplayArrayInTable(Fertiliser_SourceData.Fertiliser_Products_Data3(), FertiliserProducts[[#Headers],[Company]],61)</f>
        <v>0.14099999999999999</v>
      </c>
      <c r="Q157" s="148" t="str" cm="1">
        <f t="array" ref="Q157">Common_InputFunctions.Utility_DisplayArrayInTable(Fertiliser_SourceData.Fertiliser_Products_Data3(), FertiliserProducts[[#Headers],[Company]],61)</f>
        <v>Sulfur - Generic</v>
      </c>
      <c r="R157" s="148" cm="1">
        <f t="array" ref="R157">Common_InputFunctions.Utility_DisplayArrayInTable(Fertiliser_SourceData.Fertiliser_Products_Data3(), FertiliserProducts[[#Headers],[Company]],61)</f>
        <v>9.6000000000000002E-2</v>
      </c>
      <c r="S157" s="148" t="str" cm="1">
        <f t="array" ref="S157">Common_InputFunctions.Utility_DisplayArrayInTable(Fertiliser_SourceData.Fertiliser_Products_Data3(), FertiliserProducts[[#Headers],[Company]],61)</f>
        <v>Nitrogen - Nitrate</v>
      </c>
      <c r="T157" s="148" cm="1">
        <f t="array" ref="T157">Common_InputFunctions.Utility_DisplayArrayInTable(Fertiliser_SourceData.Fertiliser_Products_Data3(), FertiliserProducts[[#Headers],[Company]],61)</f>
        <v>0.06</v>
      </c>
      <c r="U157" s="148" t="str" cm="1">
        <f t="array" ref="U157">Common_InputFunctions.Utility_DisplayArrayInTable(Fertiliser_SourceData.Fertiliser_Products_Data3(), FertiliserProducts[[#Headers],[Company]],61)</f>
        <v>Nitrogen - Ammoniacal</v>
      </c>
      <c r="V157" s="148" cm="1">
        <f t="array" ref="V157">Common_InputFunctions.Utility_DisplayArrayInTable(Fertiliser_SourceData.Fertiliser_Products_Data3(), FertiliserProducts[[#Headers],[Company]],61)</f>
        <v>0.06</v>
      </c>
      <c r="W157" s="148" t="str" cm="1">
        <f t="array" ref="W157">Common_InputFunctions.Utility_DisplayArrayInTable(Fertiliser_SourceData.Fertiliser_Products_Data3(), FertiliserProducts[[#Headers],[Company]],61)</f>
        <v>Phosphorus - Generic</v>
      </c>
      <c r="X157" s="148" cm="1">
        <f t="array" ref="X157">Common_InputFunctions.Utility_DisplayArrayInTable(Fertiliser_SourceData.Fertiliser_Products_Data3(), FertiliserProducts[[#Headers],[Company]],61)</f>
        <v>5.1999999999999998E-2</v>
      </c>
      <c r="Y157" s="148" t="str" cm="1">
        <f t="array" ref="Y157">Common_InputFunctions.Utility_DisplayArrayInTable(Fertiliser_SourceData.Fertiliser_Products_Data3(), FertiliserProducts[[#Headers],[Company]],61)</f>
        <v>Magnesium</v>
      </c>
      <c r="Z157" s="148" cm="1">
        <f t="array" ref="Z157">Common_InputFunctions.Utility_DisplayArrayInTable(Fertiliser_SourceData.Fertiliser_Products_Data3(), FertiliserProducts[[#Headers],[Company]],61)</f>
        <v>1.2E-2</v>
      </c>
      <c r="AA157" s="148" t="str" cm="1">
        <f t="array" ref="AA157">Common_InputFunctions.Utility_DisplayArrayInTable(Fertiliser_SourceData.Fertiliser_Products_Data3(), FertiliserProducts[[#Headers],[Company]],61)</f>
        <v>Zinc</v>
      </c>
      <c r="AB157" s="148" cm="1">
        <f t="array" ref="AB157">Common_InputFunctions.Utility_DisplayArrayInTable(Fertiliser_SourceData.Fertiliser_Products_Data3(), FertiliserProducts[[#Headers],[Company]],61)</f>
        <v>8.0000000000000004E-4</v>
      </c>
      <c r="AC157" s="148" t="str" cm="1">
        <f t="array" ref="AC157">Common_InputFunctions.Utility_DisplayArrayInTable(Fertiliser_SourceData.Fertiliser_Products_Data3(), FertiliserProducts[[#Headers],[Company]],61)</f>
        <v>Iron</v>
      </c>
      <c r="AD157" s="148" cm="1">
        <f t="array" ref="AD157">Common_InputFunctions.Utility_DisplayArrayInTable(Fertiliser_SourceData.Fertiliser_Products_Data3(), FertiliserProducts[[#Headers],[Company]],61)</f>
        <v>6.9999999999999999E-4</v>
      </c>
      <c r="AE157" s="148" t="str" cm="1">
        <f t="array" ref="AE157">Common_InputFunctions.Utility_DisplayArrayInTable(Fertiliser_SourceData.Fertiliser_Products_Data3(), FertiliserProducts[[#Headers],[Company]],61)</f>
        <v>Manganese</v>
      </c>
      <c r="AF157" s="148" cm="1">
        <f t="array" ref="AF157">Common_InputFunctions.Utility_DisplayArrayInTable(Fertiliser_SourceData.Fertiliser_Products_Data3(), FertiliserProducts[[#Headers],[Company]],61)</f>
        <v>5.9999999999999995E-4</v>
      </c>
      <c r="AG157" s="148" t="str" cm="1">
        <f t="array" ref="AG157">Common_InputFunctions.Utility_DisplayArrayInTable(Fertiliser_SourceData.Fertiliser_Products_Data3(), FertiliserProducts[[#Headers],[Company]],61)</f>
        <v>Boron</v>
      </c>
      <c r="AH157" s="148" cm="1">
        <f t="array" ref="AH157">Common_InputFunctions.Utility_DisplayArrayInTable(Fertiliser_SourceData.Fertiliser_Products_Data3(), FertiliserProducts[[#Headers],[Company]],61)</f>
        <v>2.0000000000000001E-4</v>
      </c>
      <c r="AK157" s="1"/>
    </row>
    <row r="158" spans="1:39" ht="20.100000000000001" customHeight="1" x14ac:dyDescent="0.2">
      <c r="A158" s="79" t="str">
        <f>HYPERLINK("#A1", "▲ Back to top")</f>
        <v>▲ Back to top</v>
      </c>
      <c r="D158" s="148" t="str" cm="1">
        <f t="array" ref="D158">Common_InputFunctions.Utility_DisplayArrayInTable(Fertiliser_SourceData.Fertiliser_Products_Data3(), FertiliserProducts[[#Headers],[Company]],61)</f>
        <v>Campbells fertilisers Australia</v>
      </c>
      <c r="E158" s="148" t="str" cm="1">
        <f t="array" ref="E158">Common_InputFunctions.Utility_DisplayArrayInTable(Fertiliser_SourceData.Fertiliser_Products_Data3(), FertiliserProducts[[#Headers],[Company]],61)</f>
        <v>Quick-N Nergetic</v>
      </c>
      <c r="F158" s="148" t="str" cm="1">
        <f t="array" ref="F158">Common_InputFunctions.Utility_DisplayArrayInTable(Fertiliser_SourceData.Fertiliser_Products_Data3(), FertiliserProducts[[#Headers],[Company]],61)</f>
        <v>kg</v>
      </c>
      <c r="G158" s="148" cm="1">
        <f t="array" ref="G158">Common_InputFunctions.Utility_DisplayArrayInTable(Fertiliser_SourceData.Fertiliser_Products_Data3(), FertiliserProducts[[#Headers],[Company]],61)</f>
        <v>1</v>
      </c>
      <c r="H158" s="148" t="str" cm="1">
        <f t="array" ref="H158">Common_InputFunctions.Utility_DisplayArrayInTable(Fertiliser_SourceData.Fertiliser_Products_Data3(), FertiliserProducts[[#Headers],[Company]],61)</f>
        <v/>
      </c>
      <c r="I158" s="148" t="str" cm="1">
        <f t="array" ref="I158">Common_InputFunctions.Utility_DisplayArrayInTable(Fertiliser_SourceData.Fertiliser_Products_Data3(), FertiliserProducts[[#Headers],[Company]],61)</f>
        <v/>
      </c>
      <c r="J158" s="148" t="str" cm="1">
        <f t="array" ref="J158">Common_InputFunctions.Utility_DisplayArrayInTable(Fertiliser_SourceData.Fertiliser_Products_Data3(), FertiliserProducts[[#Headers],[Company]],61)</f>
        <v/>
      </c>
      <c r="K158" s="148" cm="1">
        <f t="array" ref="K158">Common_InputFunctions.Utility_DisplayArrayInTable(Fertiliser_SourceData.Fertiliser_Products_Data3(), FertiliserProducts[[#Headers],[Company]],61)</f>
        <v>25</v>
      </c>
      <c r="L158" s="148" t="str" cm="1">
        <f t="array" ref="L158">Common_InputFunctions.Utility_DisplayArrayInTable(Fertiliser_SourceData.Fertiliser_Products_Data3(), FertiliserProducts[[#Headers],[Company]],61)</f>
        <v/>
      </c>
      <c r="M158" s="148" t="str" cm="1">
        <f t="array" ref="M158">Common_InputFunctions.Utility_DisplayArrayInTable(Fertiliser_SourceData.Fertiliser_Products_Data3(), FertiliserProducts[[#Headers],[Company]],61)</f>
        <v/>
      </c>
      <c r="N158" s="148" cm="1">
        <f t="array" ref="N158">Common_InputFunctions.Utility_DisplayArrayInTable(Fertiliser_SourceData.Fertiliser_Products_Data3(), FertiliserProducts[[#Headers],[Company]],61)</f>
        <v>12.8</v>
      </c>
      <c r="O158" s="148" t="str" cm="1">
        <f t="array" ref="O158">Common_InputFunctions.Utility_DisplayArrayInTable(Fertiliser_SourceData.Fertiliser_Products_Data3(), FertiliserProducts[[#Headers],[Company]],61)</f>
        <v>Sulphate of ammonia (SOA)</v>
      </c>
      <c r="P158" s="148" cm="1">
        <f t="array" ref="P158">Common_InputFunctions.Utility_DisplayArrayInTable(Fertiliser_SourceData.Fertiliser_Products_Data3(), FertiliserProducts[[#Headers],[Company]],61)</f>
        <v>0.53333299999999995</v>
      </c>
      <c r="Q158" s="148" t="str" cm="1">
        <f t="array" ref="Q158">Common_InputFunctions.Utility_DisplayArrayInTable(Fertiliser_SourceData.Fertiliser_Products_Data3(), FertiliserProducts[[#Headers],[Company]],61)</f>
        <v>Ammonium nitrate (AN)</v>
      </c>
      <c r="R158" s="148" cm="1">
        <f t="array" ref="R158">Common_InputFunctions.Utility_DisplayArrayInTable(Fertiliser_SourceData.Fertiliser_Products_Data3(), FertiliserProducts[[#Headers],[Company]],61)</f>
        <v>0.40949600000000003</v>
      </c>
      <c r="S158" s="148" t="str" cm="1">
        <f t="array" ref="S158">Common_InputFunctions.Utility_DisplayArrayInTable(Fertiliser_SourceData.Fertiliser_Products_Data3(), FertiliserProducts[[#Headers],[Company]],61)</f>
        <v>Zinc</v>
      </c>
      <c r="T158" s="148" cm="1">
        <f t="array" ref="T158">Common_InputFunctions.Utility_DisplayArrayInTable(Fertiliser_SourceData.Fertiliser_Products_Data3(), FertiliserProducts[[#Headers],[Company]],61)</f>
        <v>1E-3</v>
      </c>
      <c r="U158" s="148" t="str" cm="1">
        <f t="array" ref="U158">Common_InputFunctions.Utility_DisplayArrayInTable(Fertiliser_SourceData.Fertiliser_Products_Data3(), FertiliserProducts[[#Headers],[Company]],61)</f>
        <v>Manganese</v>
      </c>
      <c r="V158" s="148" cm="1">
        <f t="array" ref="V158">Common_InputFunctions.Utility_DisplayArrayInTable(Fertiliser_SourceData.Fertiliser_Products_Data3(), FertiliserProducts[[#Headers],[Company]],61)</f>
        <v>1E-3</v>
      </c>
      <c r="W158" s="148" t="str" cm="1">
        <f t="array" ref="W158">Common_InputFunctions.Utility_DisplayArrayInTable(Fertiliser_SourceData.Fertiliser_Products_Data3(), FertiliserProducts[[#Headers],[Company]],61)</f>
        <v>Boron</v>
      </c>
      <c r="X158" s="148" cm="1">
        <f t="array" ref="X158">Common_InputFunctions.Utility_DisplayArrayInTable(Fertiliser_SourceData.Fertiliser_Products_Data3(), FertiliserProducts[[#Headers],[Company]],61)</f>
        <v>1E-4</v>
      </c>
      <c r="Y158" s="148" t="str" cm="1">
        <f t="array" ref="Y158">Common_InputFunctions.Utility_DisplayArrayInTable(Fertiliser_SourceData.Fertiliser_Products_Data3(), FertiliserProducts[[#Headers],[Company]],61)</f>
        <v>Molybdenum</v>
      </c>
      <c r="Z158" s="148" cm="1">
        <f t="array" ref="Z158">Common_InputFunctions.Utility_DisplayArrayInTable(Fertiliser_SourceData.Fertiliser_Products_Data3(), FertiliserProducts[[#Headers],[Company]],61)</f>
        <v>1.0000000000000001E-5</v>
      </c>
      <c r="AA158" s="148" t="str" cm="1">
        <f t="array" ref="AA158">Common_InputFunctions.Utility_DisplayArrayInTable(Fertiliser_SourceData.Fertiliser_Products_Data3(), FertiliserProducts[[#Headers],[Company]],61)</f>
        <v/>
      </c>
      <c r="AB158" s="148" t="str" cm="1">
        <f t="array" ref="AB158">Common_InputFunctions.Utility_DisplayArrayInTable(Fertiliser_SourceData.Fertiliser_Products_Data3(), FertiliserProducts[[#Headers],[Company]],61)</f>
        <v/>
      </c>
      <c r="AC158" s="148" t="str" cm="1">
        <f t="array" ref="AC158">Common_InputFunctions.Utility_DisplayArrayInTable(Fertiliser_SourceData.Fertiliser_Products_Data3(), FertiliserProducts[[#Headers],[Company]],61)</f>
        <v/>
      </c>
      <c r="AD158" s="148" t="str" cm="1">
        <f t="array" ref="AD158">Common_InputFunctions.Utility_DisplayArrayInTable(Fertiliser_SourceData.Fertiliser_Products_Data3(), FertiliserProducts[[#Headers],[Company]],61)</f>
        <v/>
      </c>
      <c r="AE158" s="148" t="str" cm="1">
        <f t="array" ref="AE158">Common_InputFunctions.Utility_DisplayArrayInTable(Fertiliser_SourceData.Fertiliser_Products_Data3(), FertiliserProducts[[#Headers],[Company]],61)</f>
        <v/>
      </c>
      <c r="AF158" s="148" t="str" cm="1">
        <f t="array" ref="AF158">Common_InputFunctions.Utility_DisplayArrayInTable(Fertiliser_SourceData.Fertiliser_Products_Data3(), FertiliserProducts[[#Headers],[Company]],61)</f>
        <v/>
      </c>
      <c r="AG158" s="148" t="str" cm="1">
        <f t="array" ref="AG158">Common_InputFunctions.Utility_DisplayArrayInTable(Fertiliser_SourceData.Fertiliser_Products_Data3(), FertiliserProducts[[#Headers],[Company]],61)</f>
        <v/>
      </c>
      <c r="AH158" s="148" t="str" cm="1">
        <f t="array" ref="AH158">Common_InputFunctions.Utility_DisplayArrayInTable(Fertiliser_SourceData.Fertiliser_Products_Data3(), FertiliserProducts[[#Headers],[Company]],61)</f>
        <v/>
      </c>
      <c r="AK158" s="1"/>
    </row>
    <row r="159" spans="1:39" ht="20.100000000000001" customHeight="1" x14ac:dyDescent="0.2">
      <c r="D159" s="148" t="str" cm="1">
        <f t="array" ref="D159">Common_InputFunctions.Utility_DisplayArrayInTable(Fertiliser_SourceData.Fertiliser_Products_Data3(), FertiliserProducts[[#Headers],[Company]],61)</f>
        <v>FertPro Manufacturing Pty. Ltd.</v>
      </c>
      <c r="E159" s="148" t="str" cm="1">
        <f t="array" ref="E159">Common_InputFunctions.Utility_DisplayArrayInTable(Fertiliser_SourceData.Fertiliser_Products_Data3(), FertiliserProducts[[#Headers],[Company]],61)</f>
        <v>(SSP) Single Super Fertiliser</v>
      </c>
      <c r="F159" s="148" t="str" cm="1">
        <f t="array" ref="F159">Common_InputFunctions.Utility_DisplayArrayInTable(Fertiliser_SourceData.Fertiliser_Products_Data3(), FertiliserProducts[[#Headers],[Company]],61)</f>
        <v>kg</v>
      </c>
      <c r="G159" s="148" cm="1">
        <f t="array" ref="G159">Common_InputFunctions.Utility_DisplayArrayInTable(Fertiliser_SourceData.Fertiliser_Products_Data3(), FertiliserProducts[[#Headers],[Company]],61)</f>
        <v>1</v>
      </c>
      <c r="H159" s="148" t="str" cm="1">
        <f t="array" ref="H159">Common_InputFunctions.Utility_DisplayArrayInTable(Fertiliser_SourceData.Fertiliser_Products_Data3(), FertiliserProducts[[#Headers],[Company]],61)</f>
        <v/>
      </c>
      <c r="I159" s="148" t="str" cm="1">
        <f t="array" ref="I159">Common_InputFunctions.Utility_DisplayArrayInTable(Fertiliser_SourceData.Fertiliser_Products_Data3(), FertiliserProducts[[#Headers],[Company]],61)</f>
        <v/>
      </c>
      <c r="J159" s="148" t="str" cm="1">
        <f t="array" ref="J159">Common_InputFunctions.Utility_DisplayArrayInTable(Fertiliser_SourceData.Fertiliser_Products_Data3(), FertiliserProducts[[#Headers],[Company]],61)</f>
        <v/>
      </c>
      <c r="K159" s="148" t="str" cm="1">
        <f t="array" ref="K159">Common_InputFunctions.Utility_DisplayArrayInTable(Fertiliser_SourceData.Fertiliser_Products_Data3(), FertiliserProducts[[#Headers],[Company]],61)</f>
        <v/>
      </c>
      <c r="L159" s="148" cm="1">
        <f t="array" ref="L159">Common_InputFunctions.Utility_DisplayArrayInTable(Fertiliser_SourceData.Fertiliser_Products_Data3(), FertiliserProducts[[#Headers],[Company]],61)</f>
        <v>8.8000000000000007</v>
      </c>
      <c r="M159" s="148" t="str" cm="1">
        <f t="array" ref="M159">Common_InputFunctions.Utility_DisplayArrayInTable(Fertiliser_SourceData.Fertiliser_Products_Data3(), FertiliserProducts[[#Headers],[Company]],61)</f>
        <v/>
      </c>
      <c r="N159" s="148" cm="1">
        <f t="array" ref="N159">Common_InputFunctions.Utility_DisplayArrayInTable(Fertiliser_SourceData.Fertiliser_Products_Data3(), FertiliserProducts[[#Headers],[Company]],61)</f>
        <v>11</v>
      </c>
      <c r="O159" s="148" t="str" cm="1">
        <f t="array" ref="O159">Common_InputFunctions.Utility_DisplayArrayInTable(Fertiliser_SourceData.Fertiliser_Products_Data3(), FertiliserProducts[[#Headers],[Company]],61)</f>
        <v>Single superphosphate (SSP)</v>
      </c>
      <c r="P159" s="148" cm="1">
        <f t="array" ref="P159">Common_InputFunctions.Utility_DisplayArrayInTable(Fertiliser_SourceData.Fertiliser_Products_Data3(), FertiliserProducts[[#Headers],[Company]],61)</f>
        <v>1</v>
      </c>
      <c r="Q159" s="148" t="str" cm="1">
        <f t="array" ref="Q159">Common_InputFunctions.Utility_DisplayArrayInTable(Fertiliser_SourceData.Fertiliser_Products_Data3(), FertiliserProducts[[#Headers],[Company]],61)</f>
        <v/>
      </c>
      <c r="R159" s="148" t="str" cm="1">
        <f t="array" ref="R159">Common_InputFunctions.Utility_DisplayArrayInTable(Fertiliser_SourceData.Fertiliser_Products_Data3(), FertiliserProducts[[#Headers],[Company]],61)</f>
        <v/>
      </c>
      <c r="S159" s="148" t="str" cm="1">
        <f t="array" ref="S159">Common_InputFunctions.Utility_DisplayArrayInTable(Fertiliser_SourceData.Fertiliser_Products_Data3(), FertiliserProducts[[#Headers],[Company]],61)</f>
        <v/>
      </c>
      <c r="T159" s="148" t="str" cm="1">
        <f t="array" ref="T159">Common_InputFunctions.Utility_DisplayArrayInTable(Fertiliser_SourceData.Fertiliser_Products_Data3(), FertiliserProducts[[#Headers],[Company]],61)</f>
        <v/>
      </c>
      <c r="U159" s="148" t="str" cm="1">
        <f t="array" ref="U159">Common_InputFunctions.Utility_DisplayArrayInTable(Fertiliser_SourceData.Fertiliser_Products_Data3(), FertiliserProducts[[#Headers],[Company]],61)</f>
        <v/>
      </c>
      <c r="V159" s="148" t="str" cm="1">
        <f t="array" ref="V159">Common_InputFunctions.Utility_DisplayArrayInTable(Fertiliser_SourceData.Fertiliser_Products_Data3(), FertiliserProducts[[#Headers],[Company]],61)</f>
        <v/>
      </c>
      <c r="W159" s="148" t="str" cm="1">
        <f t="array" ref="W159">Common_InputFunctions.Utility_DisplayArrayInTable(Fertiliser_SourceData.Fertiliser_Products_Data3(), FertiliserProducts[[#Headers],[Company]],61)</f>
        <v/>
      </c>
      <c r="X159" s="148" t="str" cm="1">
        <f t="array" ref="X159">Common_InputFunctions.Utility_DisplayArrayInTable(Fertiliser_SourceData.Fertiliser_Products_Data3(), FertiliserProducts[[#Headers],[Company]],61)</f>
        <v/>
      </c>
      <c r="Y159" s="148" t="str" cm="1">
        <f t="array" ref="Y159">Common_InputFunctions.Utility_DisplayArrayInTable(Fertiliser_SourceData.Fertiliser_Products_Data3(), FertiliserProducts[[#Headers],[Company]],61)</f>
        <v/>
      </c>
      <c r="Z159" s="148" t="str" cm="1">
        <f t="array" ref="Z159">Common_InputFunctions.Utility_DisplayArrayInTable(Fertiliser_SourceData.Fertiliser_Products_Data3(), FertiliserProducts[[#Headers],[Company]],61)</f>
        <v/>
      </c>
      <c r="AA159" s="148" t="str" cm="1">
        <f t="array" ref="AA159">Common_InputFunctions.Utility_DisplayArrayInTable(Fertiliser_SourceData.Fertiliser_Products_Data3(), FertiliserProducts[[#Headers],[Company]],61)</f>
        <v/>
      </c>
      <c r="AB159" s="148" t="str" cm="1">
        <f t="array" ref="AB159">Common_InputFunctions.Utility_DisplayArrayInTable(Fertiliser_SourceData.Fertiliser_Products_Data3(), FertiliserProducts[[#Headers],[Company]],61)</f>
        <v/>
      </c>
      <c r="AC159" s="148" t="str" cm="1">
        <f t="array" ref="AC159">Common_InputFunctions.Utility_DisplayArrayInTable(Fertiliser_SourceData.Fertiliser_Products_Data3(), FertiliserProducts[[#Headers],[Company]],61)</f>
        <v/>
      </c>
      <c r="AD159" s="148" t="str" cm="1">
        <f t="array" ref="AD159">Common_InputFunctions.Utility_DisplayArrayInTable(Fertiliser_SourceData.Fertiliser_Products_Data3(), FertiliserProducts[[#Headers],[Company]],61)</f>
        <v/>
      </c>
      <c r="AE159" s="148" t="str" cm="1">
        <f t="array" ref="AE159">Common_InputFunctions.Utility_DisplayArrayInTable(Fertiliser_SourceData.Fertiliser_Products_Data3(), FertiliserProducts[[#Headers],[Company]],61)</f>
        <v/>
      </c>
      <c r="AF159" s="148" t="str" cm="1">
        <f t="array" ref="AF159">Common_InputFunctions.Utility_DisplayArrayInTable(Fertiliser_SourceData.Fertiliser_Products_Data3(), FertiliserProducts[[#Headers],[Company]],61)</f>
        <v/>
      </c>
      <c r="AG159" s="148" t="str" cm="1">
        <f t="array" ref="AG159">Common_InputFunctions.Utility_DisplayArrayInTable(Fertiliser_SourceData.Fertiliser_Products_Data3(), FertiliserProducts[[#Headers],[Company]],61)</f>
        <v/>
      </c>
      <c r="AH159" s="148" t="str" cm="1">
        <f t="array" ref="AH159">Common_InputFunctions.Utility_DisplayArrayInTable(Fertiliser_SourceData.Fertiliser_Products_Data3(), FertiliserProducts[[#Headers],[Company]],61)</f>
        <v/>
      </c>
      <c r="AK159" s="1"/>
    </row>
    <row r="160" spans="1:39" ht="20.100000000000001" customHeight="1" x14ac:dyDescent="0.2">
      <c r="D160" s="148" t="str" cm="1">
        <f t="array" ref="D160">Common_InputFunctions.Utility_DisplayArrayInTable(Fertiliser_SourceData.Fertiliser_Products_Data3(), FertiliserProducts[[#Headers],[Company]],61)</f>
        <v>Impact Fertilisers</v>
      </c>
      <c r="E160" s="148" t="str" cm="1">
        <f t="array" ref="E160">Common_InputFunctions.Utility_DisplayArrayInTable(Fertiliser_SourceData.Fertiliser_Products_Data3(), FertiliserProducts[[#Headers],[Company]],61)</f>
        <v>ZincStar</v>
      </c>
      <c r="F160" s="148" t="str" cm="1">
        <f t="array" ref="F160">Common_InputFunctions.Utility_DisplayArrayInTable(Fertiliser_SourceData.Fertiliser_Products_Data3(), FertiliserProducts[[#Headers],[Company]],61)</f>
        <v>kg</v>
      </c>
      <c r="G160" s="148" cm="1">
        <f t="array" ref="G160">Common_InputFunctions.Utility_DisplayArrayInTable(Fertiliser_SourceData.Fertiliser_Products_Data3(), FertiliserProducts[[#Headers],[Company]],61)</f>
        <v>1</v>
      </c>
      <c r="H160" s="148" t="str" cm="1">
        <f t="array" ref="H160">Common_InputFunctions.Utility_DisplayArrayInTable(Fertiliser_SourceData.Fertiliser_Products_Data3(), FertiliserProducts[[#Headers],[Company]],61)</f>
        <v/>
      </c>
      <c r="I160" s="148" t="str" cm="1">
        <f t="array" ref="I160">Common_InputFunctions.Utility_DisplayArrayInTable(Fertiliser_SourceData.Fertiliser_Products_Data3(), FertiliserProducts[[#Headers],[Company]],61)</f>
        <v/>
      </c>
      <c r="J160" s="148" t="str" cm="1">
        <f t="array" ref="J160">Common_InputFunctions.Utility_DisplayArrayInTable(Fertiliser_SourceData.Fertiliser_Products_Data3(), FertiliserProducts[[#Headers],[Company]],61)</f>
        <v/>
      </c>
      <c r="K160" s="148" cm="1">
        <f t="array" ref="K160">Common_InputFunctions.Utility_DisplayArrayInTable(Fertiliser_SourceData.Fertiliser_Products_Data3(), FertiliserProducts[[#Headers],[Company]],61)</f>
        <v>10</v>
      </c>
      <c r="L160" s="148" cm="1">
        <f t="array" ref="L160">Common_InputFunctions.Utility_DisplayArrayInTable(Fertiliser_SourceData.Fertiliser_Products_Data3(), FertiliserProducts[[#Headers],[Company]],61)</f>
        <v>21.9</v>
      </c>
      <c r="M160" s="148" cm="1">
        <f t="array" ref="M160">Common_InputFunctions.Utility_DisplayArrayInTable(Fertiliser_SourceData.Fertiliser_Products_Data3(), FertiliserProducts[[#Headers],[Company]],61)</f>
        <v>0</v>
      </c>
      <c r="N160" s="148" cm="1">
        <f t="array" ref="N160">Common_InputFunctions.Utility_DisplayArrayInTable(Fertiliser_SourceData.Fertiliser_Products_Data3(), FertiliserProducts[[#Headers],[Company]],61)</f>
        <v>2</v>
      </c>
      <c r="O160" s="148" t="str" cm="1">
        <f t="array" ref="O160">Common_InputFunctions.Utility_DisplayArrayInTable(Fertiliser_SourceData.Fertiliser_Products_Data3(), FertiliserProducts[[#Headers],[Company]],61)</f>
        <v>Monoammonium phosphate (MAP)</v>
      </c>
      <c r="P160" s="148" cm="1">
        <f t="array" ref="P160">Common_InputFunctions.Utility_DisplayArrayInTable(Fertiliser_SourceData.Fertiliser_Products_Data3(), FertiliserProducts[[#Headers],[Company]],61)</f>
        <v>1</v>
      </c>
      <c r="Q160" s="148" t="str" cm="1">
        <f t="array" ref="Q160">Common_InputFunctions.Utility_DisplayArrayInTable(Fertiliser_SourceData.Fertiliser_Products_Data3(), FertiliserProducts[[#Headers],[Company]],61)</f>
        <v>Zinc</v>
      </c>
      <c r="R160" s="148" cm="1">
        <f t="array" ref="R160">Common_InputFunctions.Utility_DisplayArrayInTable(Fertiliser_SourceData.Fertiliser_Products_Data3(), FertiliserProducts[[#Headers],[Company]],61)</f>
        <v>0.01</v>
      </c>
      <c r="S160" s="148" t="str" cm="1">
        <f t="array" ref="S160">Common_InputFunctions.Utility_DisplayArrayInTable(Fertiliser_SourceData.Fertiliser_Products_Data3(), FertiliserProducts[[#Headers],[Company]],61)</f>
        <v/>
      </c>
      <c r="T160" s="148" t="str" cm="1">
        <f t="array" ref="T160">Common_InputFunctions.Utility_DisplayArrayInTable(Fertiliser_SourceData.Fertiliser_Products_Data3(), FertiliserProducts[[#Headers],[Company]],61)</f>
        <v/>
      </c>
      <c r="U160" s="148" t="str" cm="1">
        <f t="array" ref="U160">Common_InputFunctions.Utility_DisplayArrayInTable(Fertiliser_SourceData.Fertiliser_Products_Data3(), FertiliserProducts[[#Headers],[Company]],61)</f>
        <v/>
      </c>
      <c r="V160" s="148" t="str" cm="1">
        <f t="array" ref="V160">Common_InputFunctions.Utility_DisplayArrayInTable(Fertiliser_SourceData.Fertiliser_Products_Data3(), FertiliserProducts[[#Headers],[Company]],61)</f>
        <v/>
      </c>
      <c r="W160" s="148" t="str" cm="1">
        <f t="array" ref="W160">Common_InputFunctions.Utility_DisplayArrayInTable(Fertiliser_SourceData.Fertiliser_Products_Data3(), FertiliserProducts[[#Headers],[Company]],61)</f>
        <v/>
      </c>
      <c r="X160" s="148" t="str" cm="1">
        <f t="array" ref="X160">Common_InputFunctions.Utility_DisplayArrayInTable(Fertiliser_SourceData.Fertiliser_Products_Data3(), FertiliserProducts[[#Headers],[Company]],61)</f>
        <v/>
      </c>
      <c r="Y160" s="148" t="str" cm="1">
        <f t="array" ref="Y160">Common_InputFunctions.Utility_DisplayArrayInTable(Fertiliser_SourceData.Fertiliser_Products_Data3(), FertiliserProducts[[#Headers],[Company]],61)</f>
        <v/>
      </c>
      <c r="Z160" s="148" t="str" cm="1">
        <f t="array" ref="Z160">Common_InputFunctions.Utility_DisplayArrayInTable(Fertiliser_SourceData.Fertiliser_Products_Data3(), FertiliserProducts[[#Headers],[Company]],61)</f>
        <v/>
      </c>
      <c r="AA160" s="148" t="str" cm="1">
        <f t="array" ref="AA160">Common_InputFunctions.Utility_DisplayArrayInTable(Fertiliser_SourceData.Fertiliser_Products_Data3(), FertiliserProducts[[#Headers],[Company]],61)</f>
        <v/>
      </c>
      <c r="AB160" s="148" t="str" cm="1">
        <f t="array" ref="AB160">Common_InputFunctions.Utility_DisplayArrayInTable(Fertiliser_SourceData.Fertiliser_Products_Data3(), FertiliserProducts[[#Headers],[Company]],61)</f>
        <v/>
      </c>
      <c r="AC160" s="148" t="str" cm="1">
        <f t="array" ref="AC160">Common_InputFunctions.Utility_DisplayArrayInTable(Fertiliser_SourceData.Fertiliser_Products_Data3(), FertiliserProducts[[#Headers],[Company]],61)</f>
        <v/>
      </c>
      <c r="AD160" s="148" t="str" cm="1">
        <f t="array" ref="AD160">Common_InputFunctions.Utility_DisplayArrayInTable(Fertiliser_SourceData.Fertiliser_Products_Data3(), FertiliserProducts[[#Headers],[Company]],61)</f>
        <v/>
      </c>
      <c r="AE160" s="148" t="str" cm="1">
        <f t="array" ref="AE160">Common_InputFunctions.Utility_DisplayArrayInTable(Fertiliser_SourceData.Fertiliser_Products_Data3(), FertiliserProducts[[#Headers],[Company]],61)</f>
        <v/>
      </c>
      <c r="AF160" s="148" t="str" cm="1">
        <f t="array" ref="AF160">Common_InputFunctions.Utility_DisplayArrayInTable(Fertiliser_SourceData.Fertiliser_Products_Data3(), FertiliserProducts[[#Headers],[Company]],61)</f>
        <v/>
      </c>
      <c r="AG160" s="148" t="str" cm="1">
        <f t="array" ref="AG160">Common_InputFunctions.Utility_DisplayArrayInTable(Fertiliser_SourceData.Fertiliser_Products_Data3(), FertiliserProducts[[#Headers],[Company]],61)</f>
        <v/>
      </c>
      <c r="AH160" s="148" t="str" cm="1">
        <f t="array" ref="AH160">Common_InputFunctions.Utility_DisplayArrayInTable(Fertiliser_SourceData.Fertiliser_Products_Data3(), FertiliserProducts[[#Headers],[Company]],61)</f>
        <v/>
      </c>
      <c r="AK160" s="1"/>
    </row>
    <row r="161" spans="4:37" ht="20.100000000000001" customHeight="1" x14ac:dyDescent="0.2">
      <c r="D161" s="148" t="str" cm="1">
        <f t="array" ref="D161">Common_InputFunctions.Utility_DisplayArrayInTable(Fertiliser_SourceData.Fertiliser_Products_Data3(), FertiliserProducts[[#Headers],[Company]],61)</f>
        <v>Baileys (Simplot) [listed as Impact]</v>
      </c>
      <c r="E161" s="148" t="str" cm="1">
        <f t="array" ref="E161">Common_InputFunctions.Utility_DisplayArrayInTable(Fertiliser_SourceData.Fertiliser_Products_Data3(), FertiliserProducts[[#Headers],[Company]],61)</f>
        <v>Apex GaIXe Low P 21-1-6</v>
      </c>
      <c r="F161" s="148" t="str" cm="1">
        <f t="array" ref="F161">Common_InputFunctions.Utility_DisplayArrayInTable(Fertiliser_SourceData.Fertiliser_Products_Data3(), FertiliserProducts[[#Headers],[Company]],61)</f>
        <v>kg</v>
      </c>
      <c r="G161" s="148" cm="1">
        <f t="array" ref="G161">Common_InputFunctions.Utility_DisplayArrayInTable(Fertiliser_SourceData.Fertiliser_Products_Data3(), FertiliserProducts[[#Headers],[Company]],61)</f>
        <v>1</v>
      </c>
      <c r="H161" s="148" t="str" cm="1">
        <f t="array" ref="H161">Common_InputFunctions.Utility_DisplayArrayInTable(Fertiliser_SourceData.Fertiliser_Products_Data3(), FertiliserProducts[[#Headers],[Company]],61)</f>
        <v/>
      </c>
      <c r="I161" s="148" t="str" cm="1">
        <f t="array" ref="I161">Common_InputFunctions.Utility_DisplayArrayInTable(Fertiliser_SourceData.Fertiliser_Products_Data3(), FertiliserProducts[[#Headers],[Company]],61)</f>
        <v/>
      </c>
      <c r="J161" s="148" t="str" cm="1">
        <f t="array" ref="J161">Common_InputFunctions.Utility_DisplayArrayInTable(Fertiliser_SourceData.Fertiliser_Products_Data3(), FertiliserProducts[[#Headers],[Company]],61)</f>
        <v/>
      </c>
      <c r="K161" s="148" cm="1">
        <f t="array" ref="K161">Common_InputFunctions.Utility_DisplayArrayInTable(Fertiliser_SourceData.Fertiliser_Products_Data3(), FertiliserProducts[[#Headers],[Company]],61)</f>
        <v>21</v>
      </c>
      <c r="L161" s="148" cm="1">
        <f t="array" ref="L161">Common_InputFunctions.Utility_DisplayArrayInTable(Fertiliser_SourceData.Fertiliser_Products_Data3(), FertiliserProducts[[#Headers],[Company]],61)</f>
        <v>0.86</v>
      </c>
      <c r="M161" s="148" cm="1">
        <f t="array" ref="M161">Common_InputFunctions.Utility_DisplayArrayInTable(Fertiliser_SourceData.Fertiliser_Products_Data3(), FertiliserProducts[[#Headers],[Company]],61)</f>
        <v>5.8</v>
      </c>
      <c r="N161" s="148" cm="1">
        <f t="array" ref="N161">Common_InputFunctions.Utility_DisplayArrayInTable(Fertiliser_SourceData.Fertiliser_Products_Data3(), FertiliserProducts[[#Headers],[Company]],61)</f>
        <v>4.2</v>
      </c>
      <c r="O161" s="148" t="str" cm="1">
        <f t="array" ref="O161">Common_InputFunctions.Utility_DisplayArrayInTable(Fertiliser_SourceData.Fertiliser_Products_Data3(), FertiliserProducts[[#Headers],[Company]],61)</f>
        <v>Nitrogen - Generic</v>
      </c>
      <c r="P161" s="148" cm="1">
        <f t="array" ref="P161">Common_InputFunctions.Utility_DisplayArrayInTable(Fertiliser_SourceData.Fertiliser_Products_Data3(), FertiliserProducts[[#Headers],[Company]],61)</f>
        <v>0.21</v>
      </c>
      <c r="Q161" s="148" t="str" cm="1">
        <f t="array" ref="Q161">Common_InputFunctions.Utility_DisplayArrayInTable(Fertiliser_SourceData.Fertiliser_Products_Data3(), FertiliserProducts[[#Headers],[Company]],61)</f>
        <v>Potassium - Generic</v>
      </c>
      <c r="R161" s="148" cm="1">
        <f t="array" ref="R161">Common_InputFunctions.Utility_DisplayArrayInTable(Fertiliser_SourceData.Fertiliser_Products_Data3(), FertiliserProducts[[#Headers],[Company]],61)</f>
        <v>5.8000000000000003E-2</v>
      </c>
      <c r="S161" s="148" t="str" cm="1">
        <f t="array" ref="S161">Common_InputFunctions.Utility_DisplayArrayInTable(Fertiliser_SourceData.Fertiliser_Products_Data3(), FertiliserProducts[[#Headers],[Company]],61)</f>
        <v>Sulfur - Generic</v>
      </c>
      <c r="T161" s="148" cm="1">
        <f t="array" ref="T161">Common_InputFunctions.Utility_DisplayArrayInTable(Fertiliser_SourceData.Fertiliser_Products_Data3(), FertiliserProducts[[#Headers],[Company]],61)</f>
        <v>4.2000000000000003E-2</v>
      </c>
      <c r="U161" s="148" t="str" cm="1">
        <f t="array" ref="U161">Common_InputFunctions.Utility_DisplayArrayInTable(Fertiliser_SourceData.Fertiliser_Products_Data3(), FertiliserProducts[[#Headers],[Company]],61)</f>
        <v>Phosphorus - Generic</v>
      </c>
      <c r="V161" s="148" cm="1">
        <f t="array" ref="V161">Common_InputFunctions.Utility_DisplayArrayInTable(Fertiliser_SourceData.Fertiliser_Products_Data3(), FertiliserProducts[[#Headers],[Company]],61)</f>
        <v>8.6E-3</v>
      </c>
      <c r="W161" s="148" t="str" cm="1">
        <f t="array" ref="W161">Common_InputFunctions.Utility_DisplayArrayInTable(Fertiliser_SourceData.Fertiliser_Products_Data3(), FertiliserProducts[[#Headers],[Company]],61)</f>
        <v/>
      </c>
      <c r="X161" s="148" t="str" cm="1">
        <f t="array" ref="X161">Common_InputFunctions.Utility_DisplayArrayInTable(Fertiliser_SourceData.Fertiliser_Products_Data3(), FertiliserProducts[[#Headers],[Company]],61)</f>
        <v/>
      </c>
      <c r="Y161" s="148" t="str" cm="1">
        <f t="array" ref="Y161">Common_InputFunctions.Utility_DisplayArrayInTable(Fertiliser_SourceData.Fertiliser_Products_Data3(), FertiliserProducts[[#Headers],[Company]],61)</f>
        <v/>
      </c>
      <c r="Z161" s="148" t="str" cm="1">
        <f t="array" ref="Z161">Common_InputFunctions.Utility_DisplayArrayInTable(Fertiliser_SourceData.Fertiliser_Products_Data3(), FertiliserProducts[[#Headers],[Company]],61)</f>
        <v/>
      </c>
      <c r="AA161" s="148" t="str" cm="1">
        <f t="array" ref="AA161">Common_InputFunctions.Utility_DisplayArrayInTable(Fertiliser_SourceData.Fertiliser_Products_Data3(), FertiliserProducts[[#Headers],[Company]],61)</f>
        <v/>
      </c>
      <c r="AB161" s="148" t="str" cm="1">
        <f t="array" ref="AB161">Common_InputFunctions.Utility_DisplayArrayInTable(Fertiliser_SourceData.Fertiliser_Products_Data3(), FertiliserProducts[[#Headers],[Company]],61)</f>
        <v/>
      </c>
      <c r="AC161" s="148" t="str" cm="1">
        <f t="array" ref="AC161">Common_InputFunctions.Utility_DisplayArrayInTable(Fertiliser_SourceData.Fertiliser_Products_Data3(), FertiliserProducts[[#Headers],[Company]],61)</f>
        <v/>
      </c>
      <c r="AD161" s="148" t="str" cm="1">
        <f t="array" ref="AD161">Common_InputFunctions.Utility_DisplayArrayInTable(Fertiliser_SourceData.Fertiliser_Products_Data3(), FertiliserProducts[[#Headers],[Company]],61)</f>
        <v/>
      </c>
      <c r="AE161" s="148" t="str" cm="1">
        <f t="array" ref="AE161">Common_InputFunctions.Utility_DisplayArrayInTable(Fertiliser_SourceData.Fertiliser_Products_Data3(), FertiliserProducts[[#Headers],[Company]],61)</f>
        <v/>
      </c>
      <c r="AF161" s="148" t="str" cm="1">
        <f t="array" ref="AF161">Common_InputFunctions.Utility_DisplayArrayInTable(Fertiliser_SourceData.Fertiliser_Products_Data3(), FertiliserProducts[[#Headers],[Company]],61)</f>
        <v/>
      </c>
      <c r="AG161" s="148" t="str" cm="1">
        <f t="array" ref="AG161">Common_InputFunctions.Utility_DisplayArrayInTable(Fertiliser_SourceData.Fertiliser_Products_Data3(), FertiliserProducts[[#Headers],[Company]],61)</f>
        <v/>
      </c>
      <c r="AH161" s="148" t="str" cm="1">
        <f t="array" ref="AH161">Common_InputFunctions.Utility_DisplayArrayInTable(Fertiliser_SourceData.Fertiliser_Products_Data3(), FertiliserProducts[[#Headers],[Company]],61)</f>
        <v/>
      </c>
      <c r="AK161" s="1"/>
    </row>
    <row r="162" spans="4:37" ht="20.100000000000001" customHeight="1" x14ac:dyDescent="0.2">
      <c r="D162" s="148" t="str" cm="1">
        <f t="array" ref="D162">Common_InputFunctions.Utility_DisplayArrayInTable(Fertiliser_SourceData.Fertiliser_Products_Data3(), FertiliserProducts[[#Headers],[Company]],61)</f>
        <v>Incitec Pivot Fertilisers</v>
      </c>
      <c r="E162" s="148" t="str" cm="1">
        <f t="array" ref="E162">Common_InputFunctions.Utility_DisplayArrayInTable(Fertiliser_SourceData.Fertiliser_Products_Data3(), FertiliserProducts[[#Headers],[Company]],61)</f>
        <v>SuPerfect</v>
      </c>
      <c r="F162" s="148" t="str" cm="1">
        <f t="array" ref="F162">Common_InputFunctions.Utility_DisplayArrayInTable(Fertiliser_SourceData.Fertiliser_Products_Data3(), FertiliserProducts[[#Headers],[Company]],61)</f>
        <v>kg</v>
      </c>
      <c r="G162" s="148" cm="1">
        <f t="array" ref="G162">Common_InputFunctions.Utility_DisplayArrayInTable(Fertiliser_SourceData.Fertiliser_Products_Data3(), FertiliserProducts[[#Headers],[Company]],61)</f>
        <v>1</v>
      </c>
      <c r="H162" s="148" t="str" cm="1">
        <f t="array" ref="H162">Common_InputFunctions.Utility_DisplayArrayInTable(Fertiliser_SourceData.Fertiliser_Products_Data3(), FertiliserProducts[[#Headers],[Company]],61)</f>
        <v/>
      </c>
      <c r="I162" s="148" t="str" cm="1">
        <f t="array" ref="I162">Common_InputFunctions.Utility_DisplayArrayInTable(Fertiliser_SourceData.Fertiliser_Products_Data3(), FertiliserProducts[[#Headers],[Company]],61)</f>
        <v/>
      </c>
      <c r="J162" s="148" t="str" cm="1">
        <f t="array" ref="J162">Common_InputFunctions.Utility_DisplayArrayInTable(Fertiliser_SourceData.Fertiliser_Products_Data3(), FertiliserProducts[[#Headers],[Company]],61)</f>
        <v/>
      </c>
      <c r="K162" s="148" t="str" cm="1">
        <f t="array" ref="K162">Common_InputFunctions.Utility_DisplayArrayInTable(Fertiliser_SourceData.Fertiliser_Products_Data3(), FertiliserProducts[[#Headers],[Company]],61)</f>
        <v/>
      </c>
      <c r="L162" s="148" cm="1">
        <f t="array" ref="L162">Common_InputFunctions.Utility_DisplayArrayInTable(Fertiliser_SourceData.Fertiliser_Products_Data3(), FertiliserProducts[[#Headers],[Company]],61)</f>
        <v>8.8000000000000007</v>
      </c>
      <c r="M162" s="148" t="str" cm="1">
        <f t="array" ref="M162">Common_InputFunctions.Utility_DisplayArrayInTable(Fertiliser_SourceData.Fertiliser_Products_Data3(), FertiliserProducts[[#Headers],[Company]],61)</f>
        <v/>
      </c>
      <c r="N162" s="148" cm="1">
        <f t="array" ref="N162">Common_InputFunctions.Utility_DisplayArrayInTable(Fertiliser_SourceData.Fertiliser_Products_Data3(), FertiliserProducts[[#Headers],[Company]],61)</f>
        <v>11</v>
      </c>
      <c r="O162" s="148" t="str" cm="1">
        <f t="array" ref="O162">Common_InputFunctions.Utility_DisplayArrayInTable(Fertiliser_SourceData.Fertiliser_Products_Data3(), FertiliserProducts[[#Headers],[Company]],61)</f>
        <v>Single superphosphate (SSP)</v>
      </c>
      <c r="P162" s="148" cm="1">
        <f t="array" ref="P162">Common_InputFunctions.Utility_DisplayArrayInTable(Fertiliser_SourceData.Fertiliser_Products_Data3(), FertiliserProducts[[#Headers],[Company]],61)</f>
        <v>1</v>
      </c>
      <c r="Q162" s="148" t="str" cm="1">
        <f t="array" ref="Q162">Common_InputFunctions.Utility_DisplayArrayInTable(Fertiliser_SourceData.Fertiliser_Products_Data3(), FertiliserProducts[[#Headers],[Company]],61)</f>
        <v/>
      </c>
      <c r="R162" s="148" t="str" cm="1">
        <f t="array" ref="R162">Common_InputFunctions.Utility_DisplayArrayInTable(Fertiliser_SourceData.Fertiliser_Products_Data3(), FertiliserProducts[[#Headers],[Company]],61)</f>
        <v/>
      </c>
      <c r="S162" s="148" t="str" cm="1">
        <f t="array" ref="S162">Common_InputFunctions.Utility_DisplayArrayInTable(Fertiliser_SourceData.Fertiliser_Products_Data3(), FertiliserProducts[[#Headers],[Company]],61)</f>
        <v/>
      </c>
      <c r="T162" s="148" t="str" cm="1">
        <f t="array" ref="T162">Common_InputFunctions.Utility_DisplayArrayInTable(Fertiliser_SourceData.Fertiliser_Products_Data3(), FertiliserProducts[[#Headers],[Company]],61)</f>
        <v/>
      </c>
      <c r="U162" s="148" t="str" cm="1">
        <f t="array" ref="U162">Common_InputFunctions.Utility_DisplayArrayInTable(Fertiliser_SourceData.Fertiliser_Products_Data3(), FertiliserProducts[[#Headers],[Company]],61)</f>
        <v/>
      </c>
      <c r="V162" s="148" t="str" cm="1">
        <f t="array" ref="V162">Common_InputFunctions.Utility_DisplayArrayInTable(Fertiliser_SourceData.Fertiliser_Products_Data3(), FertiliserProducts[[#Headers],[Company]],61)</f>
        <v/>
      </c>
      <c r="W162" s="148" t="str" cm="1">
        <f t="array" ref="W162">Common_InputFunctions.Utility_DisplayArrayInTable(Fertiliser_SourceData.Fertiliser_Products_Data3(), FertiliserProducts[[#Headers],[Company]],61)</f>
        <v/>
      </c>
      <c r="X162" s="148" t="str" cm="1">
        <f t="array" ref="X162">Common_InputFunctions.Utility_DisplayArrayInTable(Fertiliser_SourceData.Fertiliser_Products_Data3(), FertiliserProducts[[#Headers],[Company]],61)</f>
        <v/>
      </c>
      <c r="Y162" s="148" t="str" cm="1">
        <f t="array" ref="Y162">Common_InputFunctions.Utility_DisplayArrayInTable(Fertiliser_SourceData.Fertiliser_Products_Data3(), FertiliserProducts[[#Headers],[Company]],61)</f>
        <v/>
      </c>
      <c r="Z162" s="148" t="str" cm="1">
        <f t="array" ref="Z162">Common_InputFunctions.Utility_DisplayArrayInTable(Fertiliser_SourceData.Fertiliser_Products_Data3(), FertiliserProducts[[#Headers],[Company]],61)</f>
        <v/>
      </c>
      <c r="AA162" s="148" t="str" cm="1">
        <f t="array" ref="AA162">Common_InputFunctions.Utility_DisplayArrayInTable(Fertiliser_SourceData.Fertiliser_Products_Data3(), FertiliserProducts[[#Headers],[Company]],61)</f>
        <v/>
      </c>
      <c r="AB162" s="148" t="str" cm="1">
        <f t="array" ref="AB162">Common_InputFunctions.Utility_DisplayArrayInTable(Fertiliser_SourceData.Fertiliser_Products_Data3(), FertiliserProducts[[#Headers],[Company]],61)</f>
        <v/>
      </c>
      <c r="AC162" s="148" t="str" cm="1">
        <f t="array" ref="AC162">Common_InputFunctions.Utility_DisplayArrayInTable(Fertiliser_SourceData.Fertiliser_Products_Data3(), FertiliserProducts[[#Headers],[Company]],61)</f>
        <v/>
      </c>
      <c r="AD162" s="148" t="str" cm="1">
        <f t="array" ref="AD162">Common_InputFunctions.Utility_DisplayArrayInTable(Fertiliser_SourceData.Fertiliser_Products_Data3(), FertiliserProducts[[#Headers],[Company]],61)</f>
        <v/>
      </c>
      <c r="AE162" s="148" t="str" cm="1">
        <f t="array" ref="AE162">Common_InputFunctions.Utility_DisplayArrayInTable(Fertiliser_SourceData.Fertiliser_Products_Data3(), FertiliserProducts[[#Headers],[Company]],61)</f>
        <v/>
      </c>
      <c r="AF162" s="148" t="str" cm="1">
        <f t="array" ref="AF162">Common_InputFunctions.Utility_DisplayArrayInTable(Fertiliser_SourceData.Fertiliser_Products_Data3(), FertiliserProducts[[#Headers],[Company]],61)</f>
        <v/>
      </c>
      <c r="AG162" s="148" t="str" cm="1">
        <f t="array" ref="AG162">Common_InputFunctions.Utility_DisplayArrayInTable(Fertiliser_SourceData.Fertiliser_Products_Data3(), FertiliserProducts[[#Headers],[Company]],61)</f>
        <v/>
      </c>
      <c r="AH162" s="148" t="str" cm="1">
        <f t="array" ref="AH162">Common_InputFunctions.Utility_DisplayArrayInTable(Fertiliser_SourceData.Fertiliser_Products_Data3(), FertiliserProducts[[#Headers],[Company]],61)</f>
        <v/>
      </c>
      <c r="AK162" s="1"/>
    </row>
    <row r="163" spans="4:37" ht="20.100000000000001" customHeight="1" x14ac:dyDescent="0.2">
      <c r="D163" s="148" t="str" cm="1">
        <f t="array" ref="D163">Common_InputFunctions.Utility_DisplayArrayInTable(Fertiliser_SourceData.Fertiliser_Products_Data3(), FertiliserProducts[[#Headers],[Company]],61)</f>
        <v>Incitec Pivot Fertilisers [listed as Summit]</v>
      </c>
      <c r="E163" s="148" t="str" cm="1">
        <f t="array" ref="E163">Common_InputFunctions.Utility_DisplayArrayInTable(Fertiliser_SourceData.Fertiliser_Products_Data3(), FertiliserProducts[[#Headers],[Company]],61)</f>
        <v>Big N</v>
      </c>
      <c r="F163" s="148" t="str" cm="1">
        <f t="array" ref="F163">Common_InputFunctions.Utility_DisplayArrayInTable(Fertiliser_SourceData.Fertiliser_Products_Data3(), FertiliserProducts[[#Headers],[Company]],61)</f>
        <v>kg</v>
      </c>
      <c r="G163" s="148" cm="1">
        <f t="array" ref="G163">Common_InputFunctions.Utility_DisplayArrayInTable(Fertiliser_SourceData.Fertiliser_Products_Data3(), FertiliserProducts[[#Headers],[Company]],61)</f>
        <v>1</v>
      </c>
      <c r="H163" s="148" t="str" cm="1">
        <f t="array" ref="H163">Common_InputFunctions.Utility_DisplayArrayInTable(Fertiliser_SourceData.Fertiliser_Products_Data3(), FertiliserProducts[[#Headers],[Company]],61)</f>
        <v/>
      </c>
      <c r="I163" s="148" t="str" cm="1">
        <f t="array" ref="I163">Common_InputFunctions.Utility_DisplayArrayInTable(Fertiliser_SourceData.Fertiliser_Products_Data3(), FertiliserProducts[[#Headers],[Company]],61)</f>
        <v/>
      </c>
      <c r="J163" s="148" t="str" cm="1">
        <f t="array" ref="J163">Common_InputFunctions.Utility_DisplayArrayInTable(Fertiliser_SourceData.Fertiliser_Products_Data3(), FertiliserProducts[[#Headers],[Company]],61)</f>
        <v/>
      </c>
      <c r="K163" s="148" cm="1">
        <f t="array" ref="K163">Common_InputFunctions.Utility_DisplayArrayInTable(Fertiliser_SourceData.Fertiliser_Products_Data3(), FertiliserProducts[[#Headers],[Company]],61)</f>
        <v>82.35</v>
      </c>
      <c r="L163" s="148" t="str" cm="1">
        <f t="array" ref="L163">Common_InputFunctions.Utility_DisplayArrayInTable(Fertiliser_SourceData.Fertiliser_Products_Data3(), FertiliserProducts[[#Headers],[Company]],61)</f>
        <v/>
      </c>
      <c r="M163" s="148" t="str" cm="1">
        <f t="array" ref="M163">Common_InputFunctions.Utility_DisplayArrayInTable(Fertiliser_SourceData.Fertiliser_Products_Data3(), FertiliserProducts[[#Headers],[Company]],61)</f>
        <v/>
      </c>
      <c r="N163" s="148" t="str" cm="1">
        <f t="array" ref="N163">Common_InputFunctions.Utility_DisplayArrayInTable(Fertiliser_SourceData.Fertiliser_Products_Data3(), FertiliserProducts[[#Headers],[Company]],61)</f>
        <v/>
      </c>
      <c r="O163" s="148" t="str" cm="1">
        <f t="array" ref="O163">Common_InputFunctions.Utility_DisplayArrayInTable(Fertiliser_SourceData.Fertiliser_Products_Data3(), FertiliserProducts[[#Headers],[Company]],61)</f>
        <v>Ammonia</v>
      </c>
      <c r="P163" s="148" cm="1">
        <f t="array" ref="P163">Common_InputFunctions.Utility_DisplayArrayInTable(Fertiliser_SourceData.Fertiliser_Products_Data3(), FertiliserProducts[[#Headers],[Company]],61)</f>
        <v>1</v>
      </c>
      <c r="Q163" s="148" t="str" cm="1">
        <f t="array" ref="Q163">Common_InputFunctions.Utility_DisplayArrayInTable(Fertiliser_SourceData.Fertiliser_Products_Data3(), FertiliserProducts[[#Headers],[Company]],61)</f>
        <v/>
      </c>
      <c r="R163" s="148" t="str" cm="1">
        <f t="array" ref="R163">Common_InputFunctions.Utility_DisplayArrayInTable(Fertiliser_SourceData.Fertiliser_Products_Data3(), FertiliserProducts[[#Headers],[Company]],61)</f>
        <v/>
      </c>
      <c r="S163" s="148" t="str" cm="1">
        <f t="array" ref="S163">Common_InputFunctions.Utility_DisplayArrayInTable(Fertiliser_SourceData.Fertiliser_Products_Data3(), FertiliserProducts[[#Headers],[Company]],61)</f>
        <v/>
      </c>
      <c r="T163" s="148" t="str" cm="1">
        <f t="array" ref="T163">Common_InputFunctions.Utility_DisplayArrayInTable(Fertiliser_SourceData.Fertiliser_Products_Data3(), FertiliserProducts[[#Headers],[Company]],61)</f>
        <v/>
      </c>
      <c r="U163" s="148" t="str" cm="1">
        <f t="array" ref="U163">Common_InputFunctions.Utility_DisplayArrayInTable(Fertiliser_SourceData.Fertiliser_Products_Data3(), FertiliserProducts[[#Headers],[Company]],61)</f>
        <v/>
      </c>
      <c r="V163" s="148" t="str" cm="1">
        <f t="array" ref="V163">Common_InputFunctions.Utility_DisplayArrayInTable(Fertiliser_SourceData.Fertiliser_Products_Data3(), FertiliserProducts[[#Headers],[Company]],61)</f>
        <v/>
      </c>
      <c r="W163" s="148" t="str" cm="1">
        <f t="array" ref="W163">Common_InputFunctions.Utility_DisplayArrayInTable(Fertiliser_SourceData.Fertiliser_Products_Data3(), FertiliserProducts[[#Headers],[Company]],61)</f>
        <v/>
      </c>
      <c r="X163" s="148" t="str" cm="1">
        <f t="array" ref="X163">Common_InputFunctions.Utility_DisplayArrayInTable(Fertiliser_SourceData.Fertiliser_Products_Data3(), FertiliserProducts[[#Headers],[Company]],61)</f>
        <v/>
      </c>
      <c r="Y163" s="148" t="str" cm="1">
        <f t="array" ref="Y163">Common_InputFunctions.Utility_DisplayArrayInTable(Fertiliser_SourceData.Fertiliser_Products_Data3(), FertiliserProducts[[#Headers],[Company]],61)</f>
        <v/>
      </c>
      <c r="Z163" s="148" t="str" cm="1">
        <f t="array" ref="Z163">Common_InputFunctions.Utility_DisplayArrayInTable(Fertiliser_SourceData.Fertiliser_Products_Data3(), FertiliserProducts[[#Headers],[Company]],61)</f>
        <v/>
      </c>
      <c r="AA163" s="148" t="str" cm="1">
        <f t="array" ref="AA163">Common_InputFunctions.Utility_DisplayArrayInTable(Fertiliser_SourceData.Fertiliser_Products_Data3(), FertiliserProducts[[#Headers],[Company]],61)</f>
        <v/>
      </c>
      <c r="AB163" s="148" t="str" cm="1">
        <f t="array" ref="AB163">Common_InputFunctions.Utility_DisplayArrayInTable(Fertiliser_SourceData.Fertiliser_Products_Data3(), FertiliserProducts[[#Headers],[Company]],61)</f>
        <v/>
      </c>
      <c r="AC163" s="148" t="str" cm="1">
        <f t="array" ref="AC163">Common_InputFunctions.Utility_DisplayArrayInTable(Fertiliser_SourceData.Fertiliser_Products_Data3(), FertiliserProducts[[#Headers],[Company]],61)</f>
        <v/>
      </c>
      <c r="AD163" s="148" t="str" cm="1">
        <f t="array" ref="AD163">Common_InputFunctions.Utility_DisplayArrayInTable(Fertiliser_SourceData.Fertiliser_Products_Data3(), FertiliserProducts[[#Headers],[Company]],61)</f>
        <v/>
      </c>
      <c r="AE163" s="148" t="str" cm="1">
        <f t="array" ref="AE163">Common_InputFunctions.Utility_DisplayArrayInTable(Fertiliser_SourceData.Fertiliser_Products_Data3(), FertiliserProducts[[#Headers],[Company]],61)</f>
        <v/>
      </c>
      <c r="AF163" s="148" t="str" cm="1">
        <f t="array" ref="AF163">Common_InputFunctions.Utility_DisplayArrayInTable(Fertiliser_SourceData.Fertiliser_Products_Data3(), FertiliserProducts[[#Headers],[Company]],61)</f>
        <v/>
      </c>
      <c r="AG163" s="148" t="str" cm="1">
        <f t="array" ref="AG163">Common_InputFunctions.Utility_DisplayArrayInTable(Fertiliser_SourceData.Fertiliser_Products_Data3(), FertiliserProducts[[#Headers],[Company]],61)</f>
        <v/>
      </c>
      <c r="AH163" s="148" t="str" cm="1">
        <f t="array" ref="AH163">Common_InputFunctions.Utility_DisplayArrayInTable(Fertiliser_SourceData.Fertiliser_Products_Data3(), FertiliserProducts[[#Headers],[Company]],61)</f>
        <v/>
      </c>
      <c r="AK163" s="1"/>
    </row>
    <row r="164" spans="4:37" ht="20.100000000000001" customHeight="1" x14ac:dyDescent="0.2">
      <c r="D164" s="148" t="str" cm="1">
        <f t="array" ref="D164">Common_InputFunctions.Utility_DisplayArrayInTable(Fertiliser_SourceData.Fertiliser_Products_Data3(), FertiliserProducts[[#Headers],[Company]],61)</f>
        <v>Incitec Pivot Fertilisers</v>
      </c>
      <c r="E164" s="148" t="str" cm="1">
        <f t="array" ref="E164">Common_InputFunctions.Utility_DisplayArrayInTable(Fertiliser_SourceData.Fertiliser_Products_Data3(), FertiliserProducts[[#Headers],[Company]],61)</f>
        <v>Entec Urea</v>
      </c>
      <c r="F164" s="148" t="str" cm="1">
        <f t="array" ref="F164">Common_InputFunctions.Utility_DisplayArrayInTable(Fertiliser_SourceData.Fertiliser_Products_Data3(), FertiliserProducts[[#Headers],[Company]],61)</f>
        <v>kg</v>
      </c>
      <c r="G164" s="148" cm="1">
        <f t="array" ref="G164">Common_InputFunctions.Utility_DisplayArrayInTable(Fertiliser_SourceData.Fertiliser_Products_Data3(), FertiliserProducts[[#Headers],[Company]],61)</f>
        <v>1</v>
      </c>
      <c r="H164" s="148" t="str" cm="1">
        <f t="array" ref="H164">Common_InputFunctions.Utility_DisplayArrayInTable(Fertiliser_SourceData.Fertiliser_Products_Data3(), FertiliserProducts[[#Headers],[Company]],61)</f>
        <v>Yes</v>
      </c>
      <c r="I164" s="148" t="str" cm="1">
        <f t="array" ref="I164">Common_InputFunctions.Utility_DisplayArrayInTable(Fertiliser_SourceData.Fertiliser_Products_Data3(), FertiliserProducts[[#Headers],[Company]],61)</f>
        <v/>
      </c>
      <c r="J164" s="148" t="str" cm="1">
        <f t="array" ref="J164">Common_InputFunctions.Utility_DisplayArrayInTable(Fertiliser_SourceData.Fertiliser_Products_Data3(), FertiliserProducts[[#Headers],[Company]],61)</f>
        <v/>
      </c>
      <c r="K164" s="148" cm="1">
        <f t="array" ref="K164">Common_InputFunctions.Utility_DisplayArrayInTable(Fertiliser_SourceData.Fertiliser_Products_Data3(), FertiliserProducts[[#Headers],[Company]],61)</f>
        <v>46</v>
      </c>
      <c r="L164" s="148" t="str" cm="1">
        <f t="array" ref="L164">Common_InputFunctions.Utility_DisplayArrayInTable(Fertiliser_SourceData.Fertiliser_Products_Data3(), FertiliserProducts[[#Headers],[Company]],61)</f>
        <v/>
      </c>
      <c r="M164" s="148" t="str" cm="1">
        <f t="array" ref="M164">Common_InputFunctions.Utility_DisplayArrayInTable(Fertiliser_SourceData.Fertiliser_Products_Data3(), FertiliserProducts[[#Headers],[Company]],61)</f>
        <v/>
      </c>
      <c r="N164" s="148" t="str" cm="1">
        <f t="array" ref="N164">Common_InputFunctions.Utility_DisplayArrayInTable(Fertiliser_SourceData.Fertiliser_Products_Data3(), FertiliserProducts[[#Headers],[Company]],61)</f>
        <v/>
      </c>
      <c r="O164" s="148" t="str" cm="1">
        <f t="array" ref="O164">Common_InputFunctions.Utility_DisplayArrayInTable(Fertiliser_SourceData.Fertiliser_Products_Data3(), FertiliserProducts[[#Headers],[Company]],61)</f>
        <v>Urea</v>
      </c>
      <c r="P164" s="148" cm="1">
        <f t="array" ref="P164">Common_InputFunctions.Utility_DisplayArrayInTable(Fertiliser_SourceData.Fertiliser_Products_Data3(), FertiliserProducts[[#Headers],[Company]],61)</f>
        <v>1</v>
      </c>
      <c r="Q164" s="148" t="str" cm="1">
        <f t="array" ref="Q164">Common_InputFunctions.Utility_DisplayArrayInTable(Fertiliser_SourceData.Fertiliser_Products_Data3(), FertiliserProducts[[#Headers],[Company]],61)</f>
        <v/>
      </c>
      <c r="R164" s="148" t="str" cm="1">
        <f t="array" ref="R164">Common_InputFunctions.Utility_DisplayArrayInTable(Fertiliser_SourceData.Fertiliser_Products_Data3(), FertiliserProducts[[#Headers],[Company]],61)</f>
        <v/>
      </c>
      <c r="S164" s="148" t="str" cm="1">
        <f t="array" ref="S164">Common_InputFunctions.Utility_DisplayArrayInTable(Fertiliser_SourceData.Fertiliser_Products_Data3(), FertiliserProducts[[#Headers],[Company]],61)</f>
        <v/>
      </c>
      <c r="T164" s="148" t="str" cm="1">
        <f t="array" ref="T164">Common_InputFunctions.Utility_DisplayArrayInTable(Fertiliser_SourceData.Fertiliser_Products_Data3(), FertiliserProducts[[#Headers],[Company]],61)</f>
        <v/>
      </c>
      <c r="U164" s="148" t="str" cm="1">
        <f t="array" ref="U164">Common_InputFunctions.Utility_DisplayArrayInTable(Fertiliser_SourceData.Fertiliser_Products_Data3(), FertiliserProducts[[#Headers],[Company]],61)</f>
        <v/>
      </c>
      <c r="V164" s="148" t="str" cm="1">
        <f t="array" ref="V164">Common_InputFunctions.Utility_DisplayArrayInTable(Fertiliser_SourceData.Fertiliser_Products_Data3(), FertiliserProducts[[#Headers],[Company]],61)</f>
        <v/>
      </c>
      <c r="W164" s="148" t="str" cm="1">
        <f t="array" ref="W164">Common_InputFunctions.Utility_DisplayArrayInTable(Fertiliser_SourceData.Fertiliser_Products_Data3(), FertiliserProducts[[#Headers],[Company]],61)</f>
        <v/>
      </c>
      <c r="X164" s="148" t="str" cm="1">
        <f t="array" ref="X164">Common_InputFunctions.Utility_DisplayArrayInTable(Fertiliser_SourceData.Fertiliser_Products_Data3(), FertiliserProducts[[#Headers],[Company]],61)</f>
        <v/>
      </c>
      <c r="Y164" s="148" t="str" cm="1">
        <f t="array" ref="Y164">Common_InputFunctions.Utility_DisplayArrayInTable(Fertiliser_SourceData.Fertiliser_Products_Data3(), FertiliserProducts[[#Headers],[Company]],61)</f>
        <v/>
      </c>
      <c r="Z164" s="148" t="str" cm="1">
        <f t="array" ref="Z164">Common_InputFunctions.Utility_DisplayArrayInTable(Fertiliser_SourceData.Fertiliser_Products_Data3(), FertiliserProducts[[#Headers],[Company]],61)</f>
        <v/>
      </c>
      <c r="AA164" s="148" t="str" cm="1">
        <f t="array" ref="AA164">Common_InputFunctions.Utility_DisplayArrayInTable(Fertiliser_SourceData.Fertiliser_Products_Data3(), FertiliserProducts[[#Headers],[Company]],61)</f>
        <v/>
      </c>
      <c r="AB164" s="148" t="str" cm="1">
        <f t="array" ref="AB164">Common_InputFunctions.Utility_DisplayArrayInTable(Fertiliser_SourceData.Fertiliser_Products_Data3(), FertiliserProducts[[#Headers],[Company]],61)</f>
        <v/>
      </c>
      <c r="AC164" s="148" t="str" cm="1">
        <f t="array" ref="AC164">Common_InputFunctions.Utility_DisplayArrayInTable(Fertiliser_SourceData.Fertiliser_Products_Data3(), FertiliserProducts[[#Headers],[Company]],61)</f>
        <v/>
      </c>
      <c r="AD164" s="148" t="str" cm="1">
        <f t="array" ref="AD164">Common_InputFunctions.Utility_DisplayArrayInTable(Fertiliser_SourceData.Fertiliser_Products_Data3(), FertiliserProducts[[#Headers],[Company]],61)</f>
        <v/>
      </c>
      <c r="AE164" s="148" t="str" cm="1">
        <f t="array" ref="AE164">Common_InputFunctions.Utility_DisplayArrayInTable(Fertiliser_SourceData.Fertiliser_Products_Data3(), FertiliserProducts[[#Headers],[Company]],61)</f>
        <v/>
      </c>
      <c r="AF164" s="148" t="str" cm="1">
        <f t="array" ref="AF164">Common_InputFunctions.Utility_DisplayArrayInTable(Fertiliser_SourceData.Fertiliser_Products_Data3(), FertiliserProducts[[#Headers],[Company]],61)</f>
        <v/>
      </c>
      <c r="AG164" s="148" t="str" cm="1">
        <f t="array" ref="AG164">Common_InputFunctions.Utility_DisplayArrayInTable(Fertiliser_SourceData.Fertiliser_Products_Data3(), FertiliserProducts[[#Headers],[Company]],61)</f>
        <v/>
      </c>
      <c r="AH164" s="148" t="str" cm="1">
        <f t="array" ref="AH164">Common_InputFunctions.Utility_DisplayArrayInTable(Fertiliser_SourceData.Fertiliser_Products_Data3(), FertiliserProducts[[#Headers],[Company]],61)</f>
        <v/>
      </c>
      <c r="AK164" s="1"/>
    </row>
    <row r="165" spans="4:37" ht="20.100000000000001" customHeight="1" x14ac:dyDescent="0.2">
      <c r="D165" s="148" t="str" cm="1">
        <f t="array" ref="D165">Common_InputFunctions.Utility_DisplayArrayInTable(Fertiliser_SourceData.Fertiliser_Products_Data3(), FertiliserProducts[[#Headers],[Company]],61)</f>
        <v>Incitec Pivot Fertilisers (or Ravensdown - see note)</v>
      </c>
      <c r="E165" s="148" t="str" cm="1">
        <f t="array" ref="E165">Common_InputFunctions.Utility_DisplayArrayInTable(Fertiliser_SourceData.Fertiliser_Products_Data3(), FertiliserProducts[[#Headers],[Company]],61)</f>
        <v>Flexi-N NI only</v>
      </c>
      <c r="F165" s="148" t="str" cm="1">
        <f t="array" ref="F165">Common_InputFunctions.Utility_DisplayArrayInTable(Fertiliser_SourceData.Fertiliser_Products_Data3(), FertiliserProducts[[#Headers],[Company]],61)</f>
        <v>kg</v>
      </c>
      <c r="G165" s="148" cm="1">
        <f t="array" ref="G165">Common_InputFunctions.Utility_DisplayArrayInTable(Fertiliser_SourceData.Fertiliser_Products_Data3(), FertiliserProducts[[#Headers],[Company]],61)</f>
        <v>1</v>
      </c>
      <c r="H165" s="148" t="str" cm="1">
        <f t="array" ref="H165">Common_InputFunctions.Utility_DisplayArrayInTable(Fertiliser_SourceData.Fertiliser_Products_Data3(), FertiliserProducts[[#Headers],[Company]],61)</f>
        <v>Yes</v>
      </c>
      <c r="I165" s="148" t="str" cm="1">
        <f t="array" ref="I165">Common_InputFunctions.Utility_DisplayArrayInTable(Fertiliser_SourceData.Fertiliser_Products_Data3(), FertiliserProducts[[#Headers],[Company]],61)</f>
        <v/>
      </c>
      <c r="J165" s="148" t="str" cm="1">
        <f t="array" ref="J165">Common_InputFunctions.Utility_DisplayArrayInTable(Fertiliser_SourceData.Fertiliser_Products_Data3(), FertiliserProducts[[#Headers],[Company]],61)</f>
        <v/>
      </c>
      <c r="K165" s="148" cm="1">
        <f t="array" ref="K165">Common_InputFunctions.Utility_DisplayArrayInTable(Fertiliser_SourceData.Fertiliser_Products_Data3(), FertiliserProducts[[#Headers],[Company]],61)</f>
        <v>45.54</v>
      </c>
      <c r="L165" s="148" t="str" cm="1">
        <f t="array" ref="L165">Common_InputFunctions.Utility_DisplayArrayInTable(Fertiliser_SourceData.Fertiliser_Products_Data3(), FertiliserProducts[[#Headers],[Company]],61)</f>
        <v/>
      </c>
      <c r="M165" s="148" t="str" cm="1">
        <f t="array" ref="M165">Common_InputFunctions.Utility_DisplayArrayInTable(Fertiliser_SourceData.Fertiliser_Products_Data3(), FertiliserProducts[[#Headers],[Company]],61)</f>
        <v/>
      </c>
      <c r="N165" s="148" t="str" cm="1">
        <f t="array" ref="N165">Common_InputFunctions.Utility_DisplayArrayInTable(Fertiliser_SourceData.Fertiliser_Products_Data3(), FertiliserProducts[[#Headers],[Company]],61)</f>
        <v/>
      </c>
      <c r="O165" s="148" t="str" cm="1">
        <f t="array" ref="O165">Common_InputFunctions.Utility_DisplayArrayInTable(Fertiliser_SourceData.Fertiliser_Products_Data3(), FertiliserProducts[[#Headers],[Company]],61)</f>
        <v>Urea</v>
      </c>
      <c r="P165" s="148" cm="1">
        <f t="array" ref="P165">Common_InputFunctions.Utility_DisplayArrayInTable(Fertiliser_SourceData.Fertiliser_Products_Data3(), FertiliserProducts[[#Headers],[Company]],61)</f>
        <v>0.99</v>
      </c>
      <c r="Q165" s="148" t="str" cm="1">
        <f t="array" ref="Q165">Common_InputFunctions.Utility_DisplayArrayInTable(Fertiliser_SourceData.Fertiliser_Products_Data3(), FertiliserProducts[[#Headers],[Company]],61)</f>
        <v>Urease/nitrification inhibitor</v>
      </c>
      <c r="R165" s="148" cm="1">
        <f t="array" ref="R165">Common_InputFunctions.Utility_DisplayArrayInTable(Fertiliser_SourceData.Fertiliser_Products_Data3(), FertiliserProducts[[#Headers],[Company]],61)</f>
        <v>0.01</v>
      </c>
      <c r="S165" s="148" t="str" cm="1">
        <f t="array" ref="S165">Common_InputFunctions.Utility_DisplayArrayInTable(Fertiliser_SourceData.Fertiliser_Products_Data3(), FertiliserProducts[[#Headers],[Company]],61)</f>
        <v/>
      </c>
      <c r="T165" s="148" t="str" cm="1">
        <f t="array" ref="T165">Common_InputFunctions.Utility_DisplayArrayInTable(Fertiliser_SourceData.Fertiliser_Products_Data3(), FertiliserProducts[[#Headers],[Company]],61)</f>
        <v/>
      </c>
      <c r="U165" s="148" t="str" cm="1">
        <f t="array" ref="U165">Common_InputFunctions.Utility_DisplayArrayInTable(Fertiliser_SourceData.Fertiliser_Products_Data3(), FertiliserProducts[[#Headers],[Company]],61)</f>
        <v/>
      </c>
      <c r="V165" s="148" t="str" cm="1">
        <f t="array" ref="V165">Common_InputFunctions.Utility_DisplayArrayInTable(Fertiliser_SourceData.Fertiliser_Products_Data3(), FertiliserProducts[[#Headers],[Company]],61)</f>
        <v/>
      </c>
      <c r="W165" s="148" t="str" cm="1">
        <f t="array" ref="W165">Common_InputFunctions.Utility_DisplayArrayInTable(Fertiliser_SourceData.Fertiliser_Products_Data3(), FertiliserProducts[[#Headers],[Company]],61)</f>
        <v/>
      </c>
      <c r="X165" s="148" t="str" cm="1">
        <f t="array" ref="X165">Common_InputFunctions.Utility_DisplayArrayInTable(Fertiliser_SourceData.Fertiliser_Products_Data3(), FertiliserProducts[[#Headers],[Company]],61)</f>
        <v/>
      </c>
      <c r="Y165" s="148" t="str" cm="1">
        <f t="array" ref="Y165">Common_InputFunctions.Utility_DisplayArrayInTable(Fertiliser_SourceData.Fertiliser_Products_Data3(), FertiliserProducts[[#Headers],[Company]],61)</f>
        <v/>
      </c>
      <c r="Z165" s="148" t="str" cm="1">
        <f t="array" ref="Z165">Common_InputFunctions.Utility_DisplayArrayInTable(Fertiliser_SourceData.Fertiliser_Products_Data3(), FertiliserProducts[[#Headers],[Company]],61)</f>
        <v/>
      </c>
      <c r="AA165" s="148" t="str" cm="1">
        <f t="array" ref="AA165">Common_InputFunctions.Utility_DisplayArrayInTable(Fertiliser_SourceData.Fertiliser_Products_Data3(), FertiliserProducts[[#Headers],[Company]],61)</f>
        <v/>
      </c>
      <c r="AB165" s="148" t="str" cm="1">
        <f t="array" ref="AB165">Common_InputFunctions.Utility_DisplayArrayInTable(Fertiliser_SourceData.Fertiliser_Products_Data3(), FertiliserProducts[[#Headers],[Company]],61)</f>
        <v/>
      </c>
      <c r="AC165" s="148" t="str" cm="1">
        <f t="array" ref="AC165">Common_InputFunctions.Utility_DisplayArrayInTable(Fertiliser_SourceData.Fertiliser_Products_Data3(), FertiliserProducts[[#Headers],[Company]],61)</f>
        <v/>
      </c>
      <c r="AD165" s="148" t="str" cm="1">
        <f t="array" ref="AD165">Common_InputFunctions.Utility_DisplayArrayInTable(Fertiliser_SourceData.Fertiliser_Products_Data3(), FertiliserProducts[[#Headers],[Company]],61)</f>
        <v/>
      </c>
      <c r="AE165" s="148" t="str" cm="1">
        <f t="array" ref="AE165">Common_InputFunctions.Utility_DisplayArrayInTable(Fertiliser_SourceData.Fertiliser_Products_Data3(), FertiliserProducts[[#Headers],[Company]],61)</f>
        <v/>
      </c>
      <c r="AF165" s="148" t="str" cm="1">
        <f t="array" ref="AF165">Common_InputFunctions.Utility_DisplayArrayInTable(Fertiliser_SourceData.Fertiliser_Products_Data3(), FertiliserProducts[[#Headers],[Company]],61)</f>
        <v/>
      </c>
      <c r="AG165" s="148" t="str" cm="1">
        <f t="array" ref="AG165">Common_InputFunctions.Utility_DisplayArrayInTable(Fertiliser_SourceData.Fertiliser_Products_Data3(), FertiliserProducts[[#Headers],[Company]],61)</f>
        <v/>
      </c>
      <c r="AH165" s="148" t="str" cm="1">
        <f t="array" ref="AH165">Common_InputFunctions.Utility_DisplayArrayInTable(Fertiliser_SourceData.Fertiliser_Products_Data3(), FertiliserProducts[[#Headers],[Company]],61)</f>
        <v/>
      </c>
      <c r="AK165" s="1"/>
    </row>
    <row r="166" spans="4:37" ht="20.100000000000001" customHeight="1" x14ac:dyDescent="0.2">
      <c r="D166" s="148" t="str" cm="1">
        <f t="array" ref="D166">Common_InputFunctions.Utility_DisplayArrayInTable(Fertiliser_SourceData.Fertiliser_Products_Data3(), FertiliserProducts[[#Headers],[Company]],61)</f>
        <v>Nutri-Tech Solutions (NTS)</v>
      </c>
      <c r="E166" s="148" t="str" cm="1">
        <f t="array" ref="E166">Common_InputFunctions.Utility_DisplayArrayInTable(Fertiliser_SourceData.Fertiliser_Products_Data3(), FertiliserProducts[[#Headers],[Company]],61)</f>
        <v>Muriate Of Potash MOP</v>
      </c>
      <c r="F166" s="148" t="str" cm="1">
        <f t="array" ref="F166">Common_InputFunctions.Utility_DisplayArrayInTable(Fertiliser_SourceData.Fertiliser_Products_Data3(), FertiliserProducts[[#Headers],[Company]],61)</f>
        <v>kg</v>
      </c>
      <c r="G166" s="148" cm="1">
        <f t="array" ref="G166">Common_InputFunctions.Utility_DisplayArrayInTable(Fertiliser_SourceData.Fertiliser_Products_Data3(), FertiliserProducts[[#Headers],[Company]],61)</f>
        <v>1</v>
      </c>
      <c r="H166" s="148" t="str" cm="1">
        <f t="array" ref="H166">Common_InputFunctions.Utility_DisplayArrayInTable(Fertiliser_SourceData.Fertiliser_Products_Data3(), FertiliserProducts[[#Headers],[Company]],61)</f>
        <v/>
      </c>
      <c r="I166" s="148" t="str" cm="1">
        <f t="array" ref="I166">Common_InputFunctions.Utility_DisplayArrayInTable(Fertiliser_SourceData.Fertiliser_Products_Data3(), FertiliserProducts[[#Headers],[Company]],61)</f>
        <v/>
      </c>
      <c r="J166" s="148" t="str" cm="1">
        <f t="array" ref="J166">Common_InputFunctions.Utility_DisplayArrayInTable(Fertiliser_SourceData.Fertiliser_Products_Data3(), FertiliserProducts[[#Headers],[Company]],61)</f>
        <v/>
      </c>
      <c r="K166" s="148" t="str" cm="1">
        <f t="array" ref="K166">Common_InputFunctions.Utility_DisplayArrayInTable(Fertiliser_SourceData.Fertiliser_Products_Data3(), FertiliserProducts[[#Headers],[Company]],61)</f>
        <v/>
      </c>
      <c r="L166" s="148" t="str" cm="1">
        <f t="array" ref="L166">Common_InputFunctions.Utility_DisplayArrayInTable(Fertiliser_SourceData.Fertiliser_Products_Data3(), FertiliserProducts[[#Headers],[Company]],61)</f>
        <v/>
      </c>
      <c r="M166" s="148" cm="1">
        <f t="array" ref="M166">Common_InputFunctions.Utility_DisplayArrayInTable(Fertiliser_SourceData.Fertiliser_Products_Data3(), FertiliserProducts[[#Headers],[Company]],61)</f>
        <v>50</v>
      </c>
      <c r="N166" s="148" t="str" cm="1">
        <f t="array" ref="N166">Common_InputFunctions.Utility_DisplayArrayInTable(Fertiliser_SourceData.Fertiliser_Products_Data3(), FertiliserProducts[[#Headers],[Company]],61)</f>
        <v/>
      </c>
      <c r="O166" s="148" t="str" cm="1">
        <f t="array" ref="O166">Common_InputFunctions.Utility_DisplayArrayInTable(Fertiliser_SourceData.Fertiliser_Products_Data3(), FertiliserProducts[[#Headers],[Company]],61)</f>
        <v>Muriate of potash (MOP)</v>
      </c>
      <c r="P166" s="148" cm="1">
        <f t="array" ref="P166">Common_InputFunctions.Utility_DisplayArrayInTable(Fertiliser_SourceData.Fertiliser_Products_Data3(), FertiliserProducts[[#Headers],[Company]],61)</f>
        <v>1</v>
      </c>
      <c r="Q166" s="148" t="str" cm="1">
        <f t="array" ref="Q166">Common_InputFunctions.Utility_DisplayArrayInTable(Fertiliser_SourceData.Fertiliser_Products_Data3(), FertiliserProducts[[#Headers],[Company]],61)</f>
        <v/>
      </c>
      <c r="R166" s="148" t="str" cm="1">
        <f t="array" ref="R166">Common_InputFunctions.Utility_DisplayArrayInTable(Fertiliser_SourceData.Fertiliser_Products_Data3(), FertiliserProducts[[#Headers],[Company]],61)</f>
        <v/>
      </c>
      <c r="S166" s="148" t="str" cm="1">
        <f t="array" ref="S166">Common_InputFunctions.Utility_DisplayArrayInTable(Fertiliser_SourceData.Fertiliser_Products_Data3(), FertiliserProducts[[#Headers],[Company]],61)</f>
        <v/>
      </c>
      <c r="T166" s="148" t="str" cm="1">
        <f t="array" ref="T166">Common_InputFunctions.Utility_DisplayArrayInTable(Fertiliser_SourceData.Fertiliser_Products_Data3(), FertiliserProducts[[#Headers],[Company]],61)</f>
        <v/>
      </c>
      <c r="U166" s="148" t="str" cm="1">
        <f t="array" ref="U166">Common_InputFunctions.Utility_DisplayArrayInTable(Fertiliser_SourceData.Fertiliser_Products_Data3(), FertiliserProducts[[#Headers],[Company]],61)</f>
        <v/>
      </c>
      <c r="V166" s="148" t="str" cm="1">
        <f t="array" ref="V166">Common_InputFunctions.Utility_DisplayArrayInTable(Fertiliser_SourceData.Fertiliser_Products_Data3(), FertiliserProducts[[#Headers],[Company]],61)</f>
        <v/>
      </c>
      <c r="W166" s="148" t="str" cm="1">
        <f t="array" ref="W166">Common_InputFunctions.Utility_DisplayArrayInTable(Fertiliser_SourceData.Fertiliser_Products_Data3(), FertiliserProducts[[#Headers],[Company]],61)</f>
        <v/>
      </c>
      <c r="X166" s="148" t="str" cm="1">
        <f t="array" ref="X166">Common_InputFunctions.Utility_DisplayArrayInTable(Fertiliser_SourceData.Fertiliser_Products_Data3(), FertiliserProducts[[#Headers],[Company]],61)</f>
        <v/>
      </c>
      <c r="Y166" s="148" t="str" cm="1">
        <f t="array" ref="Y166">Common_InputFunctions.Utility_DisplayArrayInTable(Fertiliser_SourceData.Fertiliser_Products_Data3(), FertiliserProducts[[#Headers],[Company]],61)</f>
        <v/>
      </c>
      <c r="Z166" s="148" t="str" cm="1">
        <f t="array" ref="Z166">Common_InputFunctions.Utility_DisplayArrayInTable(Fertiliser_SourceData.Fertiliser_Products_Data3(), FertiliserProducts[[#Headers],[Company]],61)</f>
        <v/>
      </c>
      <c r="AA166" s="148" t="str" cm="1">
        <f t="array" ref="AA166">Common_InputFunctions.Utility_DisplayArrayInTable(Fertiliser_SourceData.Fertiliser_Products_Data3(), FertiliserProducts[[#Headers],[Company]],61)</f>
        <v/>
      </c>
      <c r="AB166" s="148" t="str" cm="1">
        <f t="array" ref="AB166">Common_InputFunctions.Utility_DisplayArrayInTable(Fertiliser_SourceData.Fertiliser_Products_Data3(), FertiliserProducts[[#Headers],[Company]],61)</f>
        <v/>
      </c>
      <c r="AC166" s="148" t="str" cm="1">
        <f t="array" ref="AC166">Common_InputFunctions.Utility_DisplayArrayInTable(Fertiliser_SourceData.Fertiliser_Products_Data3(), FertiliserProducts[[#Headers],[Company]],61)</f>
        <v/>
      </c>
      <c r="AD166" s="148" t="str" cm="1">
        <f t="array" ref="AD166">Common_InputFunctions.Utility_DisplayArrayInTable(Fertiliser_SourceData.Fertiliser_Products_Data3(), FertiliserProducts[[#Headers],[Company]],61)</f>
        <v/>
      </c>
      <c r="AE166" s="148" t="str" cm="1">
        <f t="array" ref="AE166">Common_InputFunctions.Utility_DisplayArrayInTable(Fertiliser_SourceData.Fertiliser_Products_Data3(), FertiliserProducts[[#Headers],[Company]],61)</f>
        <v/>
      </c>
      <c r="AF166" s="148" t="str" cm="1">
        <f t="array" ref="AF166">Common_InputFunctions.Utility_DisplayArrayInTable(Fertiliser_SourceData.Fertiliser_Products_Data3(), FertiliserProducts[[#Headers],[Company]],61)</f>
        <v/>
      </c>
      <c r="AG166" s="148" t="str" cm="1">
        <f t="array" ref="AG166">Common_InputFunctions.Utility_DisplayArrayInTable(Fertiliser_SourceData.Fertiliser_Products_Data3(), FertiliserProducts[[#Headers],[Company]],61)</f>
        <v/>
      </c>
      <c r="AH166" s="148" t="str" cm="1">
        <f t="array" ref="AH166">Common_InputFunctions.Utility_DisplayArrayInTable(Fertiliser_SourceData.Fertiliser_Products_Data3(), FertiliserProducts[[#Headers],[Company]],61)</f>
        <v/>
      </c>
      <c r="AK166" s="1"/>
    </row>
    <row r="167" spans="4:37" ht="20.100000000000001" customHeight="1" x14ac:dyDescent="0.2">
      <c r="D167" s="148" t="str" cm="1">
        <f t="array" ref="D167">Common_InputFunctions.Utility_DisplayArrayInTable(Fertiliser_SourceData.Fertiliser_Products_Data3(), FertiliserProducts[[#Headers],[Company]],61)</f>
        <v>Nuturf</v>
      </c>
      <c r="E167" s="148" t="str" cm="1">
        <f t="array" ref="E167">Common_InputFunctions.Utility_DisplayArrayInTable(Fertiliser_SourceData.Fertiliser_Products_Data3(), FertiliserProducts[[#Headers],[Company]],61)</f>
        <v>MAP NUTURF</v>
      </c>
      <c r="F167" s="148" t="str" cm="1">
        <f t="array" ref="F167">Common_InputFunctions.Utility_DisplayArrayInTable(Fertiliser_SourceData.Fertiliser_Products_Data3(), FertiliserProducts[[#Headers],[Company]],61)</f>
        <v>kg</v>
      </c>
      <c r="G167" s="148" cm="1">
        <f t="array" ref="G167">Common_InputFunctions.Utility_DisplayArrayInTable(Fertiliser_SourceData.Fertiliser_Products_Data3(), FertiliserProducts[[#Headers],[Company]],61)</f>
        <v>1</v>
      </c>
      <c r="H167" s="148" t="str" cm="1">
        <f t="array" ref="H167">Common_InputFunctions.Utility_DisplayArrayInTable(Fertiliser_SourceData.Fertiliser_Products_Data3(), FertiliserProducts[[#Headers],[Company]],61)</f>
        <v/>
      </c>
      <c r="I167" s="148" t="str" cm="1">
        <f t="array" ref="I167">Common_InputFunctions.Utility_DisplayArrayInTable(Fertiliser_SourceData.Fertiliser_Products_Data3(), FertiliserProducts[[#Headers],[Company]],61)</f>
        <v/>
      </c>
      <c r="J167" s="148" t="str" cm="1">
        <f t="array" ref="J167">Common_InputFunctions.Utility_DisplayArrayInTable(Fertiliser_SourceData.Fertiliser_Products_Data3(), FertiliserProducts[[#Headers],[Company]],61)</f>
        <v/>
      </c>
      <c r="K167" s="148" cm="1">
        <f t="array" ref="K167">Common_InputFunctions.Utility_DisplayArrayInTable(Fertiliser_SourceData.Fertiliser_Products_Data3(), FertiliserProducts[[#Headers],[Company]],61)</f>
        <v>10</v>
      </c>
      <c r="L167" s="148" cm="1">
        <f t="array" ref="L167">Common_InputFunctions.Utility_DisplayArrayInTable(Fertiliser_SourceData.Fertiliser_Products_Data3(), FertiliserProducts[[#Headers],[Company]],61)</f>
        <v>21.9</v>
      </c>
      <c r="M167" s="148" t="str" cm="1">
        <f t="array" ref="M167">Common_InputFunctions.Utility_DisplayArrayInTable(Fertiliser_SourceData.Fertiliser_Products_Data3(), FertiliserProducts[[#Headers],[Company]],61)</f>
        <v/>
      </c>
      <c r="N167" s="148" t="str" cm="1">
        <f t="array" ref="N167">Common_InputFunctions.Utility_DisplayArrayInTable(Fertiliser_SourceData.Fertiliser_Products_Data3(), FertiliserProducts[[#Headers],[Company]],61)</f>
        <v/>
      </c>
      <c r="O167" s="148" t="str" cm="1">
        <f t="array" ref="O167">Common_InputFunctions.Utility_DisplayArrayInTable(Fertiliser_SourceData.Fertiliser_Products_Data3(), FertiliserProducts[[#Headers],[Company]],61)</f>
        <v>Monoammonium phosphate (MAP)</v>
      </c>
      <c r="P167" s="148" cm="1">
        <f t="array" ref="P167">Common_InputFunctions.Utility_DisplayArrayInTable(Fertiliser_SourceData.Fertiliser_Products_Data3(), FertiliserProducts[[#Headers],[Company]],61)</f>
        <v>1</v>
      </c>
      <c r="Q167" s="148" t="str" cm="1">
        <f t="array" ref="Q167">Common_InputFunctions.Utility_DisplayArrayInTable(Fertiliser_SourceData.Fertiliser_Products_Data3(), FertiliserProducts[[#Headers],[Company]],61)</f>
        <v/>
      </c>
      <c r="R167" s="148" t="str" cm="1">
        <f t="array" ref="R167">Common_InputFunctions.Utility_DisplayArrayInTable(Fertiliser_SourceData.Fertiliser_Products_Data3(), FertiliserProducts[[#Headers],[Company]],61)</f>
        <v/>
      </c>
      <c r="S167" s="148" t="str" cm="1">
        <f t="array" ref="S167">Common_InputFunctions.Utility_DisplayArrayInTable(Fertiliser_SourceData.Fertiliser_Products_Data3(), FertiliserProducts[[#Headers],[Company]],61)</f>
        <v/>
      </c>
      <c r="T167" s="148" t="str" cm="1">
        <f t="array" ref="T167">Common_InputFunctions.Utility_DisplayArrayInTable(Fertiliser_SourceData.Fertiliser_Products_Data3(), FertiliserProducts[[#Headers],[Company]],61)</f>
        <v/>
      </c>
      <c r="U167" s="148" t="str" cm="1">
        <f t="array" ref="U167">Common_InputFunctions.Utility_DisplayArrayInTable(Fertiliser_SourceData.Fertiliser_Products_Data3(), FertiliserProducts[[#Headers],[Company]],61)</f>
        <v/>
      </c>
      <c r="V167" s="148" t="str" cm="1">
        <f t="array" ref="V167">Common_InputFunctions.Utility_DisplayArrayInTable(Fertiliser_SourceData.Fertiliser_Products_Data3(), FertiliserProducts[[#Headers],[Company]],61)</f>
        <v/>
      </c>
      <c r="W167" s="148" t="str" cm="1">
        <f t="array" ref="W167">Common_InputFunctions.Utility_DisplayArrayInTable(Fertiliser_SourceData.Fertiliser_Products_Data3(), FertiliserProducts[[#Headers],[Company]],61)</f>
        <v/>
      </c>
      <c r="X167" s="148" t="str" cm="1">
        <f t="array" ref="X167">Common_InputFunctions.Utility_DisplayArrayInTable(Fertiliser_SourceData.Fertiliser_Products_Data3(), FertiliserProducts[[#Headers],[Company]],61)</f>
        <v/>
      </c>
      <c r="Y167" s="148" t="str" cm="1">
        <f t="array" ref="Y167">Common_InputFunctions.Utility_DisplayArrayInTable(Fertiliser_SourceData.Fertiliser_Products_Data3(), FertiliserProducts[[#Headers],[Company]],61)</f>
        <v/>
      </c>
      <c r="Z167" s="148" t="str" cm="1">
        <f t="array" ref="Z167">Common_InputFunctions.Utility_DisplayArrayInTable(Fertiliser_SourceData.Fertiliser_Products_Data3(), FertiliserProducts[[#Headers],[Company]],61)</f>
        <v/>
      </c>
      <c r="AA167" s="148" t="str" cm="1">
        <f t="array" ref="AA167">Common_InputFunctions.Utility_DisplayArrayInTable(Fertiliser_SourceData.Fertiliser_Products_Data3(), FertiliserProducts[[#Headers],[Company]],61)</f>
        <v/>
      </c>
      <c r="AB167" s="148" t="str" cm="1">
        <f t="array" ref="AB167">Common_InputFunctions.Utility_DisplayArrayInTable(Fertiliser_SourceData.Fertiliser_Products_Data3(), FertiliserProducts[[#Headers],[Company]],61)</f>
        <v/>
      </c>
      <c r="AC167" s="148" t="str" cm="1">
        <f t="array" ref="AC167">Common_InputFunctions.Utility_DisplayArrayInTable(Fertiliser_SourceData.Fertiliser_Products_Data3(), FertiliserProducts[[#Headers],[Company]],61)</f>
        <v/>
      </c>
      <c r="AD167" s="148" t="str" cm="1">
        <f t="array" ref="AD167">Common_InputFunctions.Utility_DisplayArrayInTable(Fertiliser_SourceData.Fertiliser_Products_Data3(), FertiliserProducts[[#Headers],[Company]],61)</f>
        <v/>
      </c>
      <c r="AE167" s="148" t="str" cm="1">
        <f t="array" ref="AE167">Common_InputFunctions.Utility_DisplayArrayInTable(Fertiliser_SourceData.Fertiliser_Products_Data3(), FertiliserProducts[[#Headers],[Company]],61)</f>
        <v/>
      </c>
      <c r="AF167" s="148" t="str" cm="1">
        <f t="array" ref="AF167">Common_InputFunctions.Utility_DisplayArrayInTable(Fertiliser_SourceData.Fertiliser_Products_Data3(), FertiliserProducts[[#Headers],[Company]],61)</f>
        <v/>
      </c>
      <c r="AG167" s="148" t="str" cm="1">
        <f t="array" ref="AG167">Common_InputFunctions.Utility_DisplayArrayInTable(Fertiliser_SourceData.Fertiliser_Products_Data3(), FertiliserProducts[[#Headers],[Company]],61)</f>
        <v/>
      </c>
      <c r="AH167" s="148" t="str" cm="1">
        <f t="array" ref="AH167">Common_InputFunctions.Utility_DisplayArrayInTable(Fertiliser_SourceData.Fertiliser_Products_Data3(), FertiliserProducts[[#Headers],[Company]],61)</f>
        <v/>
      </c>
      <c r="AK167" s="1"/>
    </row>
    <row r="168" spans="4:37" ht="20.100000000000001" customHeight="1" x14ac:dyDescent="0.2">
      <c r="D168" s="148" t="str" cm="1">
        <f t="array" ref="D168">Common_InputFunctions.Utility_DisplayArrayInTable(Fertiliser_SourceData.Fertiliser_Products_Data3(), FertiliserProducts[[#Headers],[Company]],61)</f>
        <v>Campbells fertilisers Australia</v>
      </c>
      <c r="E168" s="148" t="str" cm="1">
        <f t="array" ref="E168">Common_InputFunctions.Utility_DisplayArrayInTable(Fertiliser_SourceData.Fertiliser_Products_Data3(), FertiliserProducts[[#Headers],[Company]],61)</f>
        <v>Quick-N</v>
      </c>
      <c r="F168" s="148" t="str" cm="1">
        <f t="array" ref="F168">Common_InputFunctions.Utility_DisplayArrayInTable(Fertiliser_SourceData.Fertiliser_Products_Data3(), FertiliserProducts[[#Headers],[Company]],61)</f>
        <v>kg</v>
      </c>
      <c r="G168" s="148" cm="1">
        <f t="array" ref="G168">Common_InputFunctions.Utility_DisplayArrayInTable(Fertiliser_SourceData.Fertiliser_Products_Data3(), FertiliserProducts[[#Headers],[Company]],61)</f>
        <v>1</v>
      </c>
      <c r="H168" s="148" t="str" cm="1">
        <f t="array" ref="H168">Common_InputFunctions.Utility_DisplayArrayInTable(Fertiliser_SourceData.Fertiliser_Products_Data3(), FertiliserProducts[[#Headers],[Company]],61)</f>
        <v/>
      </c>
      <c r="I168" s="148" t="str" cm="1">
        <f t="array" ref="I168">Common_InputFunctions.Utility_DisplayArrayInTable(Fertiliser_SourceData.Fertiliser_Products_Data3(), FertiliserProducts[[#Headers],[Company]],61)</f>
        <v/>
      </c>
      <c r="J168" s="148" t="str" cm="1">
        <f t="array" ref="J168">Common_InputFunctions.Utility_DisplayArrayInTable(Fertiliser_SourceData.Fertiliser_Products_Data3(), FertiliserProducts[[#Headers],[Company]],61)</f>
        <v/>
      </c>
      <c r="K168" s="148" cm="1">
        <f t="array" ref="K168">Common_InputFunctions.Utility_DisplayArrayInTable(Fertiliser_SourceData.Fertiliser_Products_Data3(), FertiliserProducts[[#Headers],[Company]],61)</f>
        <v>26</v>
      </c>
      <c r="L168" s="148" t="str" cm="1">
        <f t="array" ref="L168">Common_InputFunctions.Utility_DisplayArrayInTable(Fertiliser_SourceData.Fertiliser_Products_Data3(), FertiliserProducts[[#Headers],[Company]],61)</f>
        <v/>
      </c>
      <c r="M168" s="148" t="str" cm="1">
        <f t="array" ref="M168">Common_InputFunctions.Utility_DisplayArrayInTable(Fertiliser_SourceData.Fertiliser_Products_Data3(), FertiliserProducts[[#Headers],[Company]],61)</f>
        <v/>
      </c>
      <c r="N168" s="148" cm="1">
        <f t="array" ref="N168">Common_InputFunctions.Utility_DisplayArrayInTable(Fertiliser_SourceData.Fertiliser_Products_Data3(), FertiliserProducts[[#Headers],[Company]],61)</f>
        <v>13</v>
      </c>
      <c r="O168" s="148" t="str" cm="1">
        <f t="array" ref="O168">Common_InputFunctions.Utility_DisplayArrayInTable(Fertiliser_SourceData.Fertiliser_Products_Data3(), FertiliserProducts[[#Headers],[Company]],61)</f>
        <v>Sulphate of ammonia (SOA)</v>
      </c>
      <c r="P168" s="148" cm="1">
        <f t="array" ref="P168">Common_InputFunctions.Utility_DisplayArrayInTable(Fertiliser_SourceData.Fertiliser_Products_Data3(), FertiliserProducts[[#Headers],[Company]],61)</f>
        <v>0.54166700000000001</v>
      </c>
      <c r="Q168" s="148" t="str" cm="1">
        <f t="array" ref="Q168">Common_InputFunctions.Utility_DisplayArrayInTable(Fertiliser_SourceData.Fertiliser_Products_Data3(), FertiliserProducts[[#Headers],[Company]],61)</f>
        <v>Ammonium nitrate (AN)</v>
      </c>
      <c r="R168" s="148" cm="1">
        <f t="array" ref="R168">Common_InputFunctions.Utility_DisplayArrayInTable(Fertiliser_SourceData.Fertiliser_Products_Data3(), FertiliserProducts[[#Headers],[Company]],61)</f>
        <v>0.43397599999999997</v>
      </c>
      <c r="S168" s="148" t="str" cm="1">
        <f t="array" ref="S168">Common_InputFunctions.Utility_DisplayArrayInTable(Fertiliser_SourceData.Fertiliser_Products_Data3(), FertiliserProducts[[#Headers],[Company]],61)</f>
        <v/>
      </c>
      <c r="T168" s="148" t="str" cm="1">
        <f t="array" ref="T168">Common_InputFunctions.Utility_DisplayArrayInTable(Fertiliser_SourceData.Fertiliser_Products_Data3(), FertiliserProducts[[#Headers],[Company]],61)</f>
        <v/>
      </c>
      <c r="U168" s="148" t="str" cm="1">
        <f t="array" ref="U168">Common_InputFunctions.Utility_DisplayArrayInTable(Fertiliser_SourceData.Fertiliser_Products_Data3(), FertiliserProducts[[#Headers],[Company]],61)</f>
        <v/>
      </c>
      <c r="V168" s="148" t="str" cm="1">
        <f t="array" ref="V168">Common_InputFunctions.Utility_DisplayArrayInTable(Fertiliser_SourceData.Fertiliser_Products_Data3(), FertiliserProducts[[#Headers],[Company]],61)</f>
        <v/>
      </c>
      <c r="W168" s="148" t="str" cm="1">
        <f t="array" ref="W168">Common_InputFunctions.Utility_DisplayArrayInTable(Fertiliser_SourceData.Fertiliser_Products_Data3(), FertiliserProducts[[#Headers],[Company]],61)</f>
        <v/>
      </c>
      <c r="X168" s="148" t="str" cm="1">
        <f t="array" ref="X168">Common_InputFunctions.Utility_DisplayArrayInTable(Fertiliser_SourceData.Fertiliser_Products_Data3(), FertiliserProducts[[#Headers],[Company]],61)</f>
        <v/>
      </c>
      <c r="Y168" s="148" t="str" cm="1">
        <f t="array" ref="Y168">Common_InputFunctions.Utility_DisplayArrayInTable(Fertiliser_SourceData.Fertiliser_Products_Data3(), FertiliserProducts[[#Headers],[Company]],61)</f>
        <v/>
      </c>
      <c r="Z168" s="148" t="str" cm="1">
        <f t="array" ref="Z168">Common_InputFunctions.Utility_DisplayArrayInTable(Fertiliser_SourceData.Fertiliser_Products_Data3(), FertiliserProducts[[#Headers],[Company]],61)</f>
        <v/>
      </c>
      <c r="AA168" s="148" t="str" cm="1">
        <f t="array" ref="AA168">Common_InputFunctions.Utility_DisplayArrayInTable(Fertiliser_SourceData.Fertiliser_Products_Data3(), FertiliserProducts[[#Headers],[Company]],61)</f>
        <v/>
      </c>
      <c r="AB168" s="148" t="str" cm="1">
        <f t="array" ref="AB168">Common_InputFunctions.Utility_DisplayArrayInTable(Fertiliser_SourceData.Fertiliser_Products_Data3(), FertiliserProducts[[#Headers],[Company]],61)</f>
        <v/>
      </c>
      <c r="AC168" s="148" t="str" cm="1">
        <f t="array" ref="AC168">Common_InputFunctions.Utility_DisplayArrayInTable(Fertiliser_SourceData.Fertiliser_Products_Data3(), FertiliserProducts[[#Headers],[Company]],61)</f>
        <v/>
      </c>
      <c r="AD168" s="148" t="str" cm="1">
        <f t="array" ref="AD168">Common_InputFunctions.Utility_DisplayArrayInTable(Fertiliser_SourceData.Fertiliser_Products_Data3(), FertiliserProducts[[#Headers],[Company]],61)</f>
        <v/>
      </c>
      <c r="AE168" s="148" t="str" cm="1">
        <f t="array" ref="AE168">Common_InputFunctions.Utility_DisplayArrayInTable(Fertiliser_SourceData.Fertiliser_Products_Data3(), FertiliserProducts[[#Headers],[Company]],61)</f>
        <v/>
      </c>
      <c r="AF168" s="148" t="str" cm="1">
        <f t="array" ref="AF168">Common_InputFunctions.Utility_DisplayArrayInTable(Fertiliser_SourceData.Fertiliser_Products_Data3(), FertiliserProducts[[#Headers],[Company]],61)</f>
        <v/>
      </c>
      <c r="AG168" s="148" t="str" cm="1">
        <f t="array" ref="AG168">Common_InputFunctions.Utility_DisplayArrayInTable(Fertiliser_SourceData.Fertiliser_Products_Data3(), FertiliserProducts[[#Headers],[Company]],61)</f>
        <v/>
      </c>
      <c r="AH168" s="148" t="str" cm="1">
        <f t="array" ref="AH168">Common_InputFunctions.Utility_DisplayArrayInTable(Fertiliser_SourceData.Fertiliser_Products_Data3(), FertiliserProducts[[#Headers],[Company]],61)</f>
        <v/>
      </c>
      <c r="AK168" s="1"/>
    </row>
    <row r="169" spans="4:37" ht="20.100000000000001" customHeight="1" x14ac:dyDescent="0.2">
      <c r="D169" s="148" t="str" cm="1">
        <f t="array" ref="D169">Common_InputFunctions.Utility_DisplayArrayInTable(Fertiliser_SourceData.Fertiliser_Products_Data3(), FertiliserProducts[[#Headers],[Company]],61)</f>
        <v>SLTEC Fertilizers</v>
      </c>
      <c r="E169" s="148" t="str" cm="1">
        <f t="array" ref="E169">Common_InputFunctions.Utility_DisplayArrayInTable(Fertiliser_SourceData.Fertiliser_Products_Data3(), FertiliserProducts[[#Headers],[Company]],61)</f>
        <v>UAS</v>
      </c>
      <c r="F169" s="148" t="str" cm="1">
        <f t="array" ref="F169">Common_InputFunctions.Utility_DisplayArrayInTable(Fertiliser_SourceData.Fertiliser_Products_Data3(), FertiliserProducts[[#Headers],[Company]],61)</f>
        <v>L</v>
      </c>
      <c r="G169" s="148" cm="1">
        <f t="array" ref="G169">Common_InputFunctions.Utility_DisplayArrayInTable(Fertiliser_SourceData.Fertiliser_Products_Data3(), FertiliserProducts[[#Headers],[Company]],61)</f>
        <v>1.2350000000000001</v>
      </c>
      <c r="H169" s="148" t="str" cm="1">
        <f t="array" ref="H169">Common_InputFunctions.Utility_DisplayArrayInTable(Fertiliser_SourceData.Fertiliser_Products_Data3(), FertiliserProducts[[#Headers],[Company]],61)</f>
        <v/>
      </c>
      <c r="I169" s="148" t="str" cm="1">
        <f t="array" ref="I169">Common_InputFunctions.Utility_DisplayArrayInTable(Fertiliser_SourceData.Fertiliser_Products_Data3(), FertiliserProducts[[#Headers],[Company]],61)</f>
        <v/>
      </c>
      <c r="J169" s="148" t="str" cm="1">
        <f t="array" ref="J169">Common_InputFunctions.Utility_DisplayArrayInTable(Fertiliser_SourceData.Fertiliser_Products_Data3(), FertiliserProducts[[#Headers],[Company]],61)</f>
        <v/>
      </c>
      <c r="K169" s="148" cm="1">
        <f t="array" ref="K169">Common_InputFunctions.Utility_DisplayArrayInTable(Fertiliser_SourceData.Fertiliser_Products_Data3(), FertiliserProducts[[#Headers],[Company]],61)</f>
        <v>26.6</v>
      </c>
      <c r="L169" s="148" t="str" cm="1">
        <f t="array" ref="L169">Common_InputFunctions.Utility_DisplayArrayInTable(Fertiliser_SourceData.Fertiliser_Products_Data3(), FertiliserProducts[[#Headers],[Company]],61)</f>
        <v/>
      </c>
      <c r="M169" s="148" t="str" cm="1">
        <f t="array" ref="M169">Common_InputFunctions.Utility_DisplayArrayInTable(Fertiliser_SourceData.Fertiliser_Products_Data3(), FertiliserProducts[[#Headers],[Company]],61)</f>
        <v/>
      </c>
      <c r="N169" s="148" cm="1">
        <f t="array" ref="N169">Common_InputFunctions.Utility_DisplayArrayInTable(Fertiliser_SourceData.Fertiliser_Products_Data3(), FertiliserProducts[[#Headers],[Company]],61)</f>
        <v>6.7</v>
      </c>
      <c r="O169" s="148" t="str" cm="1">
        <f t="array" ref="O169">Common_InputFunctions.Utility_DisplayArrayInTable(Fertiliser_SourceData.Fertiliser_Products_Data3(), FertiliserProducts[[#Headers],[Company]],61)</f>
        <v>Urea</v>
      </c>
      <c r="P169" s="148" cm="1">
        <f t="array" ref="P169">Common_InputFunctions.Utility_DisplayArrayInTable(Fertiliser_SourceData.Fertiliser_Products_Data3(), FertiliserProducts[[#Headers],[Company]],61)</f>
        <v>0.45081500000000002</v>
      </c>
      <c r="Q169" s="148" t="str" cm="1">
        <f t="array" ref="Q169">Common_InputFunctions.Utility_DisplayArrayInTable(Fertiliser_SourceData.Fertiliser_Products_Data3(), FertiliserProducts[[#Headers],[Company]],61)</f>
        <v>Sulphate of ammonia (SOA)</v>
      </c>
      <c r="R169" s="148" cm="1">
        <f t="array" ref="R169">Common_InputFunctions.Utility_DisplayArrayInTable(Fertiliser_SourceData.Fertiliser_Products_Data3(), FertiliserProducts[[#Headers],[Company]],61)</f>
        <v>0.279167</v>
      </c>
      <c r="S169" s="148" t="str" cm="1">
        <f t="array" ref="S169">Common_InputFunctions.Utility_DisplayArrayInTable(Fertiliser_SourceData.Fertiliser_Products_Data3(), FertiliserProducts[[#Headers],[Company]],61)</f>
        <v/>
      </c>
      <c r="T169" s="148" t="str" cm="1">
        <f t="array" ref="T169">Common_InputFunctions.Utility_DisplayArrayInTable(Fertiliser_SourceData.Fertiliser_Products_Data3(), FertiliserProducts[[#Headers],[Company]],61)</f>
        <v/>
      </c>
      <c r="U169" s="148" t="str" cm="1">
        <f t="array" ref="U169">Common_InputFunctions.Utility_DisplayArrayInTable(Fertiliser_SourceData.Fertiliser_Products_Data3(), FertiliserProducts[[#Headers],[Company]],61)</f>
        <v/>
      </c>
      <c r="V169" s="148" t="str" cm="1">
        <f t="array" ref="V169">Common_InputFunctions.Utility_DisplayArrayInTable(Fertiliser_SourceData.Fertiliser_Products_Data3(), FertiliserProducts[[#Headers],[Company]],61)</f>
        <v/>
      </c>
      <c r="W169" s="148" t="str" cm="1">
        <f t="array" ref="W169">Common_InputFunctions.Utility_DisplayArrayInTable(Fertiliser_SourceData.Fertiliser_Products_Data3(), FertiliserProducts[[#Headers],[Company]],61)</f>
        <v/>
      </c>
      <c r="X169" s="148" t="str" cm="1">
        <f t="array" ref="X169">Common_InputFunctions.Utility_DisplayArrayInTable(Fertiliser_SourceData.Fertiliser_Products_Data3(), FertiliserProducts[[#Headers],[Company]],61)</f>
        <v/>
      </c>
      <c r="Y169" s="148" t="str" cm="1">
        <f t="array" ref="Y169">Common_InputFunctions.Utility_DisplayArrayInTable(Fertiliser_SourceData.Fertiliser_Products_Data3(), FertiliserProducts[[#Headers],[Company]],61)</f>
        <v/>
      </c>
      <c r="Z169" s="148" t="str" cm="1">
        <f t="array" ref="Z169">Common_InputFunctions.Utility_DisplayArrayInTable(Fertiliser_SourceData.Fertiliser_Products_Data3(), FertiliserProducts[[#Headers],[Company]],61)</f>
        <v/>
      </c>
      <c r="AA169" s="148" t="str" cm="1">
        <f t="array" ref="AA169">Common_InputFunctions.Utility_DisplayArrayInTable(Fertiliser_SourceData.Fertiliser_Products_Data3(), FertiliserProducts[[#Headers],[Company]],61)</f>
        <v/>
      </c>
      <c r="AB169" s="148" t="str" cm="1">
        <f t="array" ref="AB169">Common_InputFunctions.Utility_DisplayArrayInTable(Fertiliser_SourceData.Fertiliser_Products_Data3(), FertiliserProducts[[#Headers],[Company]],61)</f>
        <v/>
      </c>
      <c r="AC169" s="148" t="str" cm="1">
        <f t="array" ref="AC169">Common_InputFunctions.Utility_DisplayArrayInTable(Fertiliser_SourceData.Fertiliser_Products_Data3(), FertiliserProducts[[#Headers],[Company]],61)</f>
        <v/>
      </c>
      <c r="AD169" s="148" t="str" cm="1">
        <f t="array" ref="AD169">Common_InputFunctions.Utility_DisplayArrayInTable(Fertiliser_SourceData.Fertiliser_Products_Data3(), FertiliserProducts[[#Headers],[Company]],61)</f>
        <v/>
      </c>
      <c r="AE169" s="148" t="str" cm="1">
        <f t="array" ref="AE169">Common_InputFunctions.Utility_DisplayArrayInTable(Fertiliser_SourceData.Fertiliser_Products_Data3(), FertiliserProducts[[#Headers],[Company]],61)</f>
        <v/>
      </c>
      <c r="AF169" s="148" t="str" cm="1">
        <f t="array" ref="AF169">Common_InputFunctions.Utility_DisplayArrayInTable(Fertiliser_SourceData.Fertiliser_Products_Data3(), FertiliserProducts[[#Headers],[Company]],61)</f>
        <v/>
      </c>
      <c r="AG169" s="148" t="str" cm="1">
        <f t="array" ref="AG169">Common_InputFunctions.Utility_DisplayArrayInTable(Fertiliser_SourceData.Fertiliser_Products_Data3(), FertiliserProducts[[#Headers],[Company]],61)</f>
        <v/>
      </c>
      <c r="AH169" s="148" t="str" cm="1">
        <f t="array" ref="AH169">Common_InputFunctions.Utility_DisplayArrayInTable(Fertiliser_SourceData.Fertiliser_Products_Data3(), FertiliserProducts[[#Headers],[Company]],61)</f>
        <v/>
      </c>
      <c r="AK169" s="1"/>
    </row>
    <row r="170" spans="4:37" ht="20.100000000000001" customHeight="1" x14ac:dyDescent="0.2">
      <c r="D170" s="148" t="str" cm="1">
        <f t="array" ref="D170">Common_InputFunctions.Utility_DisplayArrayInTable(Fertiliser_SourceData.Fertiliser_Products_Data3(), FertiliserProducts[[#Headers],[Company]],61)</f>
        <v>SLTEC Fertilizers</v>
      </c>
      <c r="E170" s="148" t="str" cm="1">
        <f t="array" ref="E170">Common_InputFunctions.Utility_DisplayArrayInTable(Fertiliser_SourceData.Fertiliser_Products_Data3(), FertiliserProducts[[#Headers],[Company]],61)</f>
        <v>Triazone Urea</v>
      </c>
      <c r="F170" s="148" t="str" cm="1">
        <f t="array" ref="F170">Common_InputFunctions.Utility_DisplayArrayInTable(Fertiliser_SourceData.Fertiliser_Products_Data3(), FertiliserProducts[[#Headers],[Company]],61)</f>
        <v>L</v>
      </c>
      <c r="G170" s="148" cm="1">
        <f t="array" ref="G170">Common_InputFunctions.Utility_DisplayArrayInTable(Fertiliser_SourceData.Fertiliser_Products_Data3(), FertiliserProducts[[#Headers],[Company]],61)</f>
        <v>1.28</v>
      </c>
      <c r="H170" s="148" t="str" cm="1">
        <f t="array" ref="H170">Common_InputFunctions.Utility_DisplayArrayInTable(Fertiliser_SourceData.Fertiliser_Products_Data3(), FertiliserProducts[[#Headers],[Company]],61)</f>
        <v/>
      </c>
      <c r="I170" s="148" t="str" cm="1">
        <f t="array" ref="I170">Common_InputFunctions.Utility_DisplayArrayInTable(Fertiliser_SourceData.Fertiliser_Products_Data3(), FertiliserProducts[[#Headers],[Company]],61)</f>
        <v/>
      </c>
      <c r="J170" s="148" t="str" cm="1">
        <f t="array" ref="J170">Common_InputFunctions.Utility_DisplayArrayInTable(Fertiliser_SourceData.Fertiliser_Products_Data3(), FertiliserProducts[[#Headers],[Company]],61)</f>
        <v/>
      </c>
      <c r="K170" s="148" cm="1">
        <f t="array" ref="K170">Common_InputFunctions.Utility_DisplayArrayInTable(Fertiliser_SourceData.Fertiliser_Products_Data3(), FertiliserProducts[[#Headers],[Company]],61)</f>
        <v>0</v>
      </c>
      <c r="L170" s="148" t="str" cm="1">
        <f t="array" ref="L170">Common_InputFunctions.Utility_DisplayArrayInTable(Fertiliser_SourceData.Fertiliser_Products_Data3(), FertiliserProducts[[#Headers],[Company]],61)</f>
        <v/>
      </c>
      <c r="M170" s="148" t="str" cm="1">
        <f t="array" ref="M170">Common_InputFunctions.Utility_DisplayArrayInTable(Fertiliser_SourceData.Fertiliser_Products_Data3(), FertiliserProducts[[#Headers],[Company]],61)</f>
        <v/>
      </c>
      <c r="N170" s="148" t="str" cm="1">
        <f t="array" ref="N170">Common_InputFunctions.Utility_DisplayArrayInTable(Fertiliser_SourceData.Fertiliser_Products_Data3(), FertiliserProducts[[#Headers],[Company]],61)</f>
        <v/>
      </c>
      <c r="O170" s="148" t="str" cm="1">
        <f t="array" ref="O170">Common_InputFunctions.Utility_DisplayArrayInTable(Fertiliser_SourceData.Fertiliser_Products_Data3(), FertiliserProducts[[#Headers],[Company]],61)</f>
        <v>Urea</v>
      </c>
      <c r="P170" s="148" cm="1">
        <f t="array" ref="P170">Common_InputFunctions.Utility_DisplayArrayInTable(Fertiliser_SourceData.Fertiliser_Products_Data3(), FertiliserProducts[[#Headers],[Company]],61)</f>
        <v>0.65217400000000003</v>
      </c>
      <c r="Q170" s="148" t="str" cm="1">
        <f t="array" ref="Q170">Common_InputFunctions.Utility_DisplayArrayInTable(Fertiliser_SourceData.Fertiliser_Products_Data3(), FertiliserProducts[[#Headers],[Company]],61)</f>
        <v/>
      </c>
      <c r="R170" s="148" t="str" cm="1">
        <f t="array" ref="R170">Common_InputFunctions.Utility_DisplayArrayInTable(Fertiliser_SourceData.Fertiliser_Products_Data3(), FertiliserProducts[[#Headers],[Company]],61)</f>
        <v/>
      </c>
      <c r="S170" s="148" t="str" cm="1">
        <f t="array" ref="S170">Common_InputFunctions.Utility_DisplayArrayInTable(Fertiliser_SourceData.Fertiliser_Products_Data3(), FertiliserProducts[[#Headers],[Company]],61)</f>
        <v/>
      </c>
      <c r="T170" s="148" t="str" cm="1">
        <f t="array" ref="T170">Common_InputFunctions.Utility_DisplayArrayInTable(Fertiliser_SourceData.Fertiliser_Products_Data3(), FertiliserProducts[[#Headers],[Company]],61)</f>
        <v/>
      </c>
      <c r="U170" s="148" t="str" cm="1">
        <f t="array" ref="U170">Common_InputFunctions.Utility_DisplayArrayInTable(Fertiliser_SourceData.Fertiliser_Products_Data3(), FertiliserProducts[[#Headers],[Company]],61)</f>
        <v/>
      </c>
      <c r="V170" s="148" t="str" cm="1">
        <f t="array" ref="V170">Common_InputFunctions.Utility_DisplayArrayInTable(Fertiliser_SourceData.Fertiliser_Products_Data3(), FertiliserProducts[[#Headers],[Company]],61)</f>
        <v/>
      </c>
      <c r="W170" s="148" t="str" cm="1">
        <f t="array" ref="W170">Common_InputFunctions.Utility_DisplayArrayInTable(Fertiliser_SourceData.Fertiliser_Products_Data3(), FertiliserProducts[[#Headers],[Company]],61)</f>
        <v/>
      </c>
      <c r="X170" s="148" t="str" cm="1">
        <f t="array" ref="X170">Common_InputFunctions.Utility_DisplayArrayInTable(Fertiliser_SourceData.Fertiliser_Products_Data3(), FertiliserProducts[[#Headers],[Company]],61)</f>
        <v/>
      </c>
      <c r="Y170" s="148" t="str" cm="1">
        <f t="array" ref="Y170">Common_InputFunctions.Utility_DisplayArrayInTable(Fertiliser_SourceData.Fertiliser_Products_Data3(), FertiliserProducts[[#Headers],[Company]],61)</f>
        <v/>
      </c>
      <c r="Z170" s="148" t="str" cm="1">
        <f t="array" ref="Z170">Common_InputFunctions.Utility_DisplayArrayInTable(Fertiliser_SourceData.Fertiliser_Products_Data3(), FertiliserProducts[[#Headers],[Company]],61)</f>
        <v/>
      </c>
      <c r="AA170" s="148" t="str" cm="1">
        <f t="array" ref="AA170">Common_InputFunctions.Utility_DisplayArrayInTable(Fertiliser_SourceData.Fertiliser_Products_Data3(), FertiliserProducts[[#Headers],[Company]],61)</f>
        <v/>
      </c>
      <c r="AB170" s="148" t="str" cm="1">
        <f t="array" ref="AB170">Common_InputFunctions.Utility_DisplayArrayInTable(Fertiliser_SourceData.Fertiliser_Products_Data3(), FertiliserProducts[[#Headers],[Company]],61)</f>
        <v/>
      </c>
      <c r="AC170" s="148" t="str" cm="1">
        <f t="array" ref="AC170">Common_InputFunctions.Utility_DisplayArrayInTable(Fertiliser_SourceData.Fertiliser_Products_Data3(), FertiliserProducts[[#Headers],[Company]],61)</f>
        <v/>
      </c>
      <c r="AD170" s="148" t="str" cm="1">
        <f t="array" ref="AD170">Common_InputFunctions.Utility_DisplayArrayInTable(Fertiliser_SourceData.Fertiliser_Products_Data3(), FertiliserProducts[[#Headers],[Company]],61)</f>
        <v/>
      </c>
      <c r="AE170" s="148" t="str" cm="1">
        <f t="array" ref="AE170">Common_InputFunctions.Utility_DisplayArrayInTable(Fertiliser_SourceData.Fertiliser_Products_Data3(), FertiliserProducts[[#Headers],[Company]],61)</f>
        <v/>
      </c>
      <c r="AF170" s="148" t="str" cm="1">
        <f t="array" ref="AF170">Common_InputFunctions.Utility_DisplayArrayInTable(Fertiliser_SourceData.Fertiliser_Products_Data3(), FertiliserProducts[[#Headers],[Company]],61)</f>
        <v/>
      </c>
      <c r="AG170" s="148" t="str" cm="1">
        <f t="array" ref="AG170">Common_InputFunctions.Utility_DisplayArrayInTable(Fertiliser_SourceData.Fertiliser_Products_Data3(), FertiliserProducts[[#Headers],[Company]],61)</f>
        <v/>
      </c>
      <c r="AH170" s="148" t="str" cm="1">
        <f t="array" ref="AH170">Common_InputFunctions.Utility_DisplayArrayInTable(Fertiliser_SourceData.Fertiliser_Products_Data3(), FertiliserProducts[[#Headers],[Company]],61)</f>
        <v/>
      </c>
      <c r="AK170" s="1"/>
    </row>
    <row r="171" spans="4:37" ht="20.100000000000001" customHeight="1" x14ac:dyDescent="0.2">
      <c r="D171" s="148" t="str" cm="1">
        <f t="array" ref="D171">Common_InputFunctions.Utility_DisplayArrayInTable(Fertiliser_SourceData.Fertiliser_Products_Data3(), FertiliserProducts[[#Headers],[Company]],61)</f>
        <v>Marnco [listed as SLTEC]</v>
      </c>
      <c r="E171" s="148" t="str" cm="1">
        <f t="array" ref="E171">Common_InputFunctions.Utility_DisplayArrayInTable(Fertiliser_SourceData.Fertiliser_Products_Data3(), FertiliserProducts[[#Headers],[Company]],61)</f>
        <v>Ammo 36N</v>
      </c>
      <c r="F171" s="148" t="str" cm="1">
        <f t="array" ref="F171">Common_InputFunctions.Utility_DisplayArrayInTable(Fertiliser_SourceData.Fertiliser_Products_Data3(), FertiliserProducts[[#Headers],[Company]],61)</f>
        <v>kg</v>
      </c>
      <c r="G171" s="148" cm="1">
        <f t="array" ref="G171">Common_InputFunctions.Utility_DisplayArrayInTable(Fertiliser_SourceData.Fertiliser_Products_Data3(), FertiliserProducts[[#Headers],[Company]],61)</f>
        <v>1</v>
      </c>
      <c r="H171" s="148" t="str" cm="1">
        <f t="array" ref="H171">Common_InputFunctions.Utility_DisplayArrayInTable(Fertiliser_SourceData.Fertiliser_Products_Data3(), FertiliserProducts[[#Headers],[Company]],61)</f>
        <v/>
      </c>
      <c r="I171" s="148" t="str" cm="1">
        <f t="array" ref="I171">Common_InputFunctions.Utility_DisplayArrayInTable(Fertiliser_SourceData.Fertiliser_Products_Data3(), FertiliserProducts[[#Headers],[Company]],61)</f>
        <v/>
      </c>
      <c r="J171" s="148" t="str" cm="1">
        <f t="array" ref="J171">Common_InputFunctions.Utility_DisplayArrayInTable(Fertiliser_SourceData.Fertiliser_Products_Data3(), FertiliserProducts[[#Headers],[Company]],61)</f>
        <v/>
      </c>
      <c r="K171" s="148" cm="1">
        <f t="array" ref="K171">Common_InputFunctions.Utility_DisplayArrayInTable(Fertiliser_SourceData.Fertiliser_Products_Data3(), FertiliserProducts[[#Headers],[Company]],61)</f>
        <v>36</v>
      </c>
      <c r="L171" s="148" t="str" cm="1">
        <f t="array" ref="L171">Common_InputFunctions.Utility_DisplayArrayInTable(Fertiliser_SourceData.Fertiliser_Products_Data3(), FertiliserProducts[[#Headers],[Company]],61)</f>
        <v/>
      </c>
      <c r="M171" s="148" t="str" cm="1">
        <f t="array" ref="M171">Common_InputFunctions.Utility_DisplayArrayInTable(Fertiliser_SourceData.Fertiliser_Products_Data3(), FertiliserProducts[[#Headers],[Company]],61)</f>
        <v/>
      </c>
      <c r="N171" s="148" cm="1">
        <f t="array" ref="N171">Common_InputFunctions.Utility_DisplayArrayInTable(Fertiliser_SourceData.Fertiliser_Products_Data3(), FertiliserProducts[[#Headers],[Company]],61)</f>
        <v>9.6</v>
      </c>
      <c r="O171" s="148" t="str" cm="1">
        <f t="array" ref="O171">Common_InputFunctions.Utility_DisplayArrayInTable(Fertiliser_SourceData.Fertiliser_Products_Data3(), FertiliserProducts[[#Headers],[Company]],61)</f>
        <v>Nitrogen - Generic</v>
      </c>
      <c r="P171" s="148" cm="1">
        <f t="array" ref="P171">Common_InputFunctions.Utility_DisplayArrayInTable(Fertiliser_SourceData.Fertiliser_Products_Data3(), FertiliserProducts[[#Headers],[Company]],61)</f>
        <v>0.36</v>
      </c>
      <c r="Q171" s="148" t="str" cm="1">
        <f t="array" ref="Q171">Common_InputFunctions.Utility_DisplayArrayInTable(Fertiliser_SourceData.Fertiliser_Products_Data3(), FertiliserProducts[[#Headers],[Company]],61)</f>
        <v>Sulfur - Generic</v>
      </c>
      <c r="R171" s="148" cm="1">
        <f t="array" ref="R171">Common_InputFunctions.Utility_DisplayArrayInTable(Fertiliser_SourceData.Fertiliser_Products_Data3(), FertiliserProducts[[#Headers],[Company]],61)</f>
        <v>9.6000000000000002E-2</v>
      </c>
      <c r="S171" s="148" t="str" cm="1">
        <f t="array" ref="S171">Common_InputFunctions.Utility_DisplayArrayInTable(Fertiliser_SourceData.Fertiliser_Products_Data3(), FertiliserProducts[[#Headers],[Company]],61)</f>
        <v/>
      </c>
      <c r="T171" s="148" t="str" cm="1">
        <f t="array" ref="T171">Common_InputFunctions.Utility_DisplayArrayInTable(Fertiliser_SourceData.Fertiliser_Products_Data3(), FertiliserProducts[[#Headers],[Company]],61)</f>
        <v/>
      </c>
      <c r="U171" s="148" t="str" cm="1">
        <f t="array" ref="U171">Common_InputFunctions.Utility_DisplayArrayInTable(Fertiliser_SourceData.Fertiliser_Products_Data3(), FertiliserProducts[[#Headers],[Company]],61)</f>
        <v/>
      </c>
      <c r="V171" s="148" t="str" cm="1">
        <f t="array" ref="V171">Common_InputFunctions.Utility_DisplayArrayInTable(Fertiliser_SourceData.Fertiliser_Products_Data3(), FertiliserProducts[[#Headers],[Company]],61)</f>
        <v/>
      </c>
      <c r="W171" s="148" t="str" cm="1">
        <f t="array" ref="W171">Common_InputFunctions.Utility_DisplayArrayInTable(Fertiliser_SourceData.Fertiliser_Products_Data3(), FertiliserProducts[[#Headers],[Company]],61)</f>
        <v/>
      </c>
      <c r="X171" s="148" t="str" cm="1">
        <f t="array" ref="X171">Common_InputFunctions.Utility_DisplayArrayInTable(Fertiliser_SourceData.Fertiliser_Products_Data3(), FertiliserProducts[[#Headers],[Company]],61)</f>
        <v/>
      </c>
      <c r="Y171" s="148" t="str" cm="1">
        <f t="array" ref="Y171">Common_InputFunctions.Utility_DisplayArrayInTable(Fertiliser_SourceData.Fertiliser_Products_Data3(), FertiliserProducts[[#Headers],[Company]],61)</f>
        <v/>
      </c>
      <c r="Z171" s="148" t="str" cm="1">
        <f t="array" ref="Z171">Common_InputFunctions.Utility_DisplayArrayInTable(Fertiliser_SourceData.Fertiliser_Products_Data3(), FertiliserProducts[[#Headers],[Company]],61)</f>
        <v/>
      </c>
      <c r="AA171" s="148" t="str" cm="1">
        <f t="array" ref="AA171">Common_InputFunctions.Utility_DisplayArrayInTable(Fertiliser_SourceData.Fertiliser_Products_Data3(), FertiliserProducts[[#Headers],[Company]],61)</f>
        <v/>
      </c>
      <c r="AB171" s="148" t="str" cm="1">
        <f t="array" ref="AB171">Common_InputFunctions.Utility_DisplayArrayInTable(Fertiliser_SourceData.Fertiliser_Products_Data3(), FertiliserProducts[[#Headers],[Company]],61)</f>
        <v/>
      </c>
      <c r="AC171" s="148" t="str" cm="1">
        <f t="array" ref="AC171">Common_InputFunctions.Utility_DisplayArrayInTable(Fertiliser_SourceData.Fertiliser_Products_Data3(), FertiliserProducts[[#Headers],[Company]],61)</f>
        <v/>
      </c>
      <c r="AD171" s="148" t="str" cm="1">
        <f t="array" ref="AD171">Common_InputFunctions.Utility_DisplayArrayInTable(Fertiliser_SourceData.Fertiliser_Products_Data3(), FertiliserProducts[[#Headers],[Company]],61)</f>
        <v/>
      </c>
      <c r="AE171" s="148" t="str" cm="1">
        <f t="array" ref="AE171">Common_InputFunctions.Utility_DisplayArrayInTable(Fertiliser_SourceData.Fertiliser_Products_Data3(), FertiliserProducts[[#Headers],[Company]],61)</f>
        <v/>
      </c>
      <c r="AF171" s="148" t="str" cm="1">
        <f t="array" ref="AF171">Common_InputFunctions.Utility_DisplayArrayInTable(Fertiliser_SourceData.Fertiliser_Products_Data3(), FertiliserProducts[[#Headers],[Company]],61)</f>
        <v/>
      </c>
      <c r="AG171" s="148" t="str" cm="1">
        <f t="array" ref="AG171">Common_InputFunctions.Utility_DisplayArrayInTable(Fertiliser_SourceData.Fertiliser_Products_Data3(), FertiliserProducts[[#Headers],[Company]],61)</f>
        <v/>
      </c>
      <c r="AH171" s="148" t="str" cm="1">
        <f t="array" ref="AH171">Common_InputFunctions.Utility_DisplayArrayInTable(Fertiliser_SourceData.Fertiliser_Products_Data3(), FertiliserProducts[[#Headers],[Company]],61)</f>
        <v/>
      </c>
      <c r="AK171" s="1"/>
    </row>
    <row r="172" spans="4:37" ht="20.100000000000001" customHeight="1" x14ac:dyDescent="0.2">
      <c r="D172" s="148" t="str" cm="1">
        <f t="array" ref="D172">Common_InputFunctions.Utility_DisplayArrayInTable(Fertiliser_SourceData.Fertiliser_Products_Data3(), FertiliserProducts[[#Headers],[Company]],61)</f>
        <v>Risso-Chemical</v>
      </c>
      <c r="E172" s="148" t="str" cm="1">
        <f t="array" ref="E172">Common_InputFunctions.Utility_DisplayArrayInTable(Fertiliser_SourceData.Fertiliser_Products_Data3(), FertiliserProducts[[#Headers],[Company]],61)</f>
        <v>Risso Liquid NPK (200-200-200)</v>
      </c>
      <c r="F172" s="148" t="str" cm="1">
        <f t="array" ref="F172">Common_InputFunctions.Utility_DisplayArrayInTable(Fertiliser_SourceData.Fertiliser_Products_Data3(), FertiliserProducts[[#Headers],[Company]],61)</f>
        <v>L</v>
      </c>
      <c r="G172" s="148" cm="1">
        <f t="array" ref="G172">Common_InputFunctions.Utility_DisplayArrayInTable(Fertiliser_SourceData.Fertiliser_Products_Data3(), FertiliserProducts[[#Headers],[Company]],61)</f>
        <v>1.3</v>
      </c>
      <c r="H172" s="148" t="str" cm="1">
        <f t="array" ref="H172">Common_InputFunctions.Utility_DisplayArrayInTable(Fertiliser_SourceData.Fertiliser_Products_Data3(), FertiliserProducts[[#Headers],[Company]],61)</f>
        <v/>
      </c>
      <c r="I172" s="148" t="str" cm="1">
        <f t="array" ref="I172">Common_InputFunctions.Utility_DisplayArrayInTable(Fertiliser_SourceData.Fertiliser_Products_Data3(), FertiliserProducts[[#Headers],[Company]],61)</f>
        <v/>
      </c>
      <c r="J172" s="148" t="str" cm="1">
        <f t="array" ref="J172">Common_InputFunctions.Utility_DisplayArrayInTable(Fertiliser_SourceData.Fertiliser_Products_Data3(), FertiliserProducts[[#Headers],[Company]],61)</f>
        <v/>
      </c>
      <c r="K172" s="148" cm="1">
        <f t="array" ref="K172">Common_InputFunctions.Utility_DisplayArrayInTable(Fertiliser_SourceData.Fertiliser_Products_Data3(), FertiliserProducts[[#Headers],[Company]],61)</f>
        <v>20</v>
      </c>
      <c r="L172" s="148" cm="1">
        <f t="array" ref="L172">Common_InputFunctions.Utility_DisplayArrayInTable(Fertiliser_SourceData.Fertiliser_Products_Data3(), FertiliserProducts[[#Headers],[Company]],61)</f>
        <v>8.73</v>
      </c>
      <c r="M172" s="148" cm="1">
        <f t="array" ref="M172">Common_InputFunctions.Utility_DisplayArrayInTable(Fertiliser_SourceData.Fertiliser_Products_Data3(), FertiliserProducts[[#Headers],[Company]],61)</f>
        <v>16.600000000000001</v>
      </c>
      <c r="N172" s="148" t="str" cm="1">
        <f t="array" ref="N172">Common_InputFunctions.Utility_DisplayArrayInTable(Fertiliser_SourceData.Fertiliser_Products_Data3(), FertiliserProducts[[#Headers],[Company]],61)</f>
        <v/>
      </c>
      <c r="O172" s="148" t="str" cm="1">
        <f t="array" ref="O172">Common_InputFunctions.Utility_DisplayArrayInTable(Fertiliser_SourceData.Fertiliser_Products_Data3(), FertiliserProducts[[#Headers],[Company]],61)</f>
        <v>Nitrogen - Generic</v>
      </c>
      <c r="P172" s="148" cm="1">
        <f t="array" ref="P172">Common_InputFunctions.Utility_DisplayArrayInTable(Fertiliser_SourceData.Fertiliser_Products_Data3(), FertiliserProducts[[#Headers],[Company]],61)</f>
        <v>0.2</v>
      </c>
      <c r="Q172" s="148" t="str" cm="1">
        <f t="array" ref="Q172">Common_InputFunctions.Utility_DisplayArrayInTable(Fertiliser_SourceData.Fertiliser_Products_Data3(), FertiliserProducts[[#Headers],[Company]],61)</f>
        <v>Phosphorus - Generic</v>
      </c>
      <c r="R172" s="148" cm="1">
        <f t="array" ref="R172">Common_InputFunctions.Utility_DisplayArrayInTable(Fertiliser_SourceData.Fertiliser_Products_Data3(), FertiliserProducts[[#Headers],[Company]],61)</f>
        <v>8.7279999999999996E-2</v>
      </c>
      <c r="S172" s="148" t="str" cm="1">
        <f t="array" ref="S172">Common_InputFunctions.Utility_DisplayArrayInTable(Fertiliser_SourceData.Fertiliser_Products_Data3(), FertiliserProducts[[#Headers],[Company]],61)</f>
        <v>Potassium - Generic</v>
      </c>
      <c r="T172" s="148" cm="1">
        <f t="array" ref="T172">Common_InputFunctions.Utility_DisplayArrayInTable(Fertiliser_SourceData.Fertiliser_Products_Data3(), FertiliserProducts[[#Headers],[Company]],61)</f>
        <v>0.16602</v>
      </c>
      <c r="U172" s="148" t="str" cm="1">
        <f t="array" ref="U172">Common_InputFunctions.Utility_DisplayArrayInTable(Fertiliser_SourceData.Fertiliser_Products_Data3(), FertiliserProducts[[#Headers],[Company]],61)</f>
        <v/>
      </c>
      <c r="V172" s="148" t="str" cm="1">
        <f t="array" ref="V172">Common_InputFunctions.Utility_DisplayArrayInTable(Fertiliser_SourceData.Fertiliser_Products_Data3(), FertiliserProducts[[#Headers],[Company]],61)</f>
        <v/>
      </c>
      <c r="W172" s="148" t="str" cm="1">
        <f t="array" ref="W172">Common_InputFunctions.Utility_DisplayArrayInTable(Fertiliser_SourceData.Fertiliser_Products_Data3(), FertiliserProducts[[#Headers],[Company]],61)</f>
        <v/>
      </c>
      <c r="X172" s="148" t="str" cm="1">
        <f t="array" ref="X172">Common_InputFunctions.Utility_DisplayArrayInTable(Fertiliser_SourceData.Fertiliser_Products_Data3(), FertiliserProducts[[#Headers],[Company]],61)</f>
        <v/>
      </c>
      <c r="Y172" s="148" t="str" cm="1">
        <f t="array" ref="Y172">Common_InputFunctions.Utility_DisplayArrayInTable(Fertiliser_SourceData.Fertiliser_Products_Data3(), FertiliserProducts[[#Headers],[Company]],61)</f>
        <v/>
      </c>
      <c r="Z172" s="148" t="str" cm="1">
        <f t="array" ref="Z172">Common_InputFunctions.Utility_DisplayArrayInTable(Fertiliser_SourceData.Fertiliser_Products_Data3(), FertiliserProducts[[#Headers],[Company]],61)</f>
        <v/>
      </c>
      <c r="AA172" s="148" t="str" cm="1">
        <f t="array" ref="AA172">Common_InputFunctions.Utility_DisplayArrayInTable(Fertiliser_SourceData.Fertiliser_Products_Data3(), FertiliserProducts[[#Headers],[Company]],61)</f>
        <v/>
      </c>
      <c r="AB172" s="148" t="str" cm="1">
        <f t="array" ref="AB172">Common_InputFunctions.Utility_DisplayArrayInTable(Fertiliser_SourceData.Fertiliser_Products_Data3(), FertiliserProducts[[#Headers],[Company]],61)</f>
        <v/>
      </c>
      <c r="AC172" s="148" t="str" cm="1">
        <f t="array" ref="AC172">Common_InputFunctions.Utility_DisplayArrayInTable(Fertiliser_SourceData.Fertiliser_Products_Data3(), FertiliserProducts[[#Headers],[Company]],61)</f>
        <v/>
      </c>
      <c r="AD172" s="148" t="str" cm="1">
        <f t="array" ref="AD172">Common_InputFunctions.Utility_DisplayArrayInTable(Fertiliser_SourceData.Fertiliser_Products_Data3(), FertiliserProducts[[#Headers],[Company]],61)</f>
        <v/>
      </c>
      <c r="AE172" s="148" t="str" cm="1">
        <f t="array" ref="AE172">Common_InputFunctions.Utility_DisplayArrayInTable(Fertiliser_SourceData.Fertiliser_Products_Data3(), FertiliserProducts[[#Headers],[Company]],61)</f>
        <v/>
      </c>
      <c r="AF172" s="148" t="str" cm="1">
        <f t="array" ref="AF172">Common_InputFunctions.Utility_DisplayArrayInTable(Fertiliser_SourceData.Fertiliser_Products_Data3(), FertiliserProducts[[#Headers],[Company]],61)</f>
        <v/>
      </c>
      <c r="AG172" s="148" t="str" cm="1">
        <f t="array" ref="AG172">Common_InputFunctions.Utility_DisplayArrayInTable(Fertiliser_SourceData.Fertiliser_Products_Data3(), FertiliserProducts[[#Headers],[Company]],61)</f>
        <v/>
      </c>
      <c r="AH172" s="148" t="str" cm="1">
        <f t="array" ref="AH172">Common_InputFunctions.Utility_DisplayArrayInTable(Fertiliser_SourceData.Fertiliser_Products_Data3(), FertiliserProducts[[#Headers],[Company]],61)</f>
        <v/>
      </c>
      <c r="AK172" s="1"/>
    </row>
    <row r="173" spans="4:37" ht="20.100000000000001" customHeight="1" x14ac:dyDescent="0.2">
      <c r="D173" s="148" t="str" cm="1">
        <f t="array" ref="D173">Common_InputFunctions.Utility_DisplayArrayInTable(Fertiliser_SourceData.Fertiliser_Products_Data3(), FertiliserProducts[[#Headers],[Company]],61)</f>
        <v>Turf Group Australia (Simplot)</v>
      </c>
      <c r="E173" s="148" t="str" cm="1">
        <f t="array" ref="E173">Common_InputFunctions.Utility_DisplayArrayInTable(Fertiliser_SourceData.Fertiliser_Products_Data3(), FertiliserProducts[[#Headers],[Company]],61)</f>
        <v>Super Cal 15-0-12</v>
      </c>
      <c r="F173" s="148" t="str" cm="1">
        <f t="array" ref="F173">Common_InputFunctions.Utility_DisplayArrayInTable(Fertiliser_SourceData.Fertiliser_Products_Data3(), FertiliserProducts[[#Headers],[Company]],61)</f>
        <v>kg</v>
      </c>
      <c r="G173" s="148" cm="1">
        <f t="array" ref="G173">Common_InputFunctions.Utility_DisplayArrayInTable(Fertiliser_SourceData.Fertiliser_Products_Data3(), FertiliserProducts[[#Headers],[Company]],61)</f>
        <v>1</v>
      </c>
      <c r="H173" s="148" t="str" cm="1">
        <f t="array" ref="H173">Common_InputFunctions.Utility_DisplayArrayInTable(Fertiliser_SourceData.Fertiliser_Products_Data3(), FertiliserProducts[[#Headers],[Company]],61)</f>
        <v/>
      </c>
      <c r="I173" s="148" t="str" cm="1">
        <f t="array" ref="I173">Common_InputFunctions.Utility_DisplayArrayInTable(Fertiliser_SourceData.Fertiliser_Products_Data3(), FertiliserProducts[[#Headers],[Company]],61)</f>
        <v/>
      </c>
      <c r="J173" s="148" t="str" cm="1">
        <f t="array" ref="J173">Common_InputFunctions.Utility_DisplayArrayInTable(Fertiliser_SourceData.Fertiliser_Products_Data3(), FertiliserProducts[[#Headers],[Company]],61)</f>
        <v/>
      </c>
      <c r="K173" s="148" cm="1">
        <f t="array" ref="K173">Common_InputFunctions.Utility_DisplayArrayInTable(Fertiliser_SourceData.Fertiliser_Products_Data3(), FertiliserProducts[[#Headers],[Company]],61)</f>
        <v>15</v>
      </c>
      <c r="L173" s="148" t="str" cm="1">
        <f t="array" ref="L173">Common_InputFunctions.Utility_DisplayArrayInTable(Fertiliser_SourceData.Fertiliser_Products_Data3(), FertiliserProducts[[#Headers],[Company]],61)</f>
        <v/>
      </c>
      <c r="M173" s="148" cm="1">
        <f t="array" ref="M173">Common_InputFunctions.Utility_DisplayArrayInTable(Fertiliser_SourceData.Fertiliser_Products_Data3(), FertiliserProducts[[#Headers],[Company]],61)</f>
        <v>9.9600000000000009</v>
      </c>
      <c r="N173" s="148" t="str" cm="1">
        <f t="array" ref="N173">Common_InputFunctions.Utility_DisplayArrayInTable(Fertiliser_SourceData.Fertiliser_Products_Data3(), FertiliserProducts[[#Headers],[Company]],61)</f>
        <v/>
      </c>
      <c r="O173" s="148" t="str" cm="1">
        <f t="array" ref="O173">Common_InputFunctions.Utility_DisplayArrayInTable(Fertiliser_SourceData.Fertiliser_Products_Data3(), FertiliserProducts[[#Headers],[Company]],61)</f>
        <v>Nitrogen - Nitrate</v>
      </c>
      <c r="P173" s="148" cm="1">
        <f t="array" ref="P173">Common_InputFunctions.Utility_DisplayArrayInTable(Fertiliser_SourceData.Fertiliser_Products_Data3(), FertiliserProducts[[#Headers],[Company]],61)</f>
        <v>8.4737000000000007E-2</v>
      </c>
      <c r="Q173" s="148" t="str" cm="1">
        <f t="array" ref="Q173">Common_InputFunctions.Utility_DisplayArrayInTable(Fertiliser_SourceData.Fertiliser_Products_Data3(), FertiliserProducts[[#Headers],[Company]],61)</f>
        <v>Potassium - Generic</v>
      </c>
      <c r="R173" s="148" cm="1">
        <f t="array" ref="R173">Common_InputFunctions.Utility_DisplayArrayInTable(Fertiliser_SourceData.Fertiliser_Products_Data3(), FertiliserProducts[[#Headers],[Company]],61)</f>
        <v>9.9612000000000006E-2</v>
      </c>
      <c r="S173" s="148" t="str" cm="1">
        <f t="array" ref="S173">Common_InputFunctions.Utility_DisplayArrayInTable(Fertiliser_SourceData.Fertiliser_Products_Data3(), FertiliserProducts[[#Headers],[Company]],61)</f>
        <v>Calcium nitrate</v>
      </c>
      <c r="T173" s="148" cm="1">
        <f t="array" ref="T173">Common_InputFunctions.Utility_DisplayArrayInTable(Fertiliser_SourceData.Fertiliser_Products_Data3(), FertiliserProducts[[#Headers],[Company]],61)</f>
        <v>0.42105300000000001</v>
      </c>
      <c r="U173" s="148" t="str" cm="1">
        <f t="array" ref="U173">Common_InputFunctions.Utility_DisplayArrayInTable(Fertiliser_SourceData.Fertiliser_Products_Data3(), FertiliserProducts[[#Headers],[Company]],61)</f>
        <v>Magnesium</v>
      </c>
      <c r="V173" s="148" cm="1">
        <f t="array" ref="V173">Common_InputFunctions.Utility_DisplayArrayInTable(Fertiliser_SourceData.Fertiliser_Products_Data3(), FertiliserProducts[[#Headers],[Company]],61)</f>
        <v>5.0000000000000001E-3</v>
      </c>
      <c r="W173" s="148" t="str" cm="1">
        <f t="array" ref="W173">Common_InputFunctions.Utility_DisplayArrayInTable(Fertiliser_SourceData.Fertiliser_Products_Data3(), FertiliserProducts[[#Headers],[Company]],61)</f>
        <v>Boron</v>
      </c>
      <c r="X173" s="148" cm="1">
        <f t="array" ref="X173">Common_InputFunctions.Utility_DisplayArrayInTable(Fertiliser_SourceData.Fertiliser_Products_Data3(), FertiliserProducts[[#Headers],[Company]],61)</f>
        <v>2.0000000000000001E-4</v>
      </c>
      <c r="Y173" s="148" t="str" cm="1">
        <f t="array" ref="Y173">Common_InputFunctions.Utility_DisplayArrayInTable(Fertiliser_SourceData.Fertiliser_Products_Data3(), FertiliserProducts[[#Headers],[Company]],61)</f>
        <v/>
      </c>
      <c r="Z173" s="148" t="str" cm="1">
        <f t="array" ref="Z173">Common_InputFunctions.Utility_DisplayArrayInTable(Fertiliser_SourceData.Fertiliser_Products_Data3(), FertiliserProducts[[#Headers],[Company]],61)</f>
        <v/>
      </c>
      <c r="AA173" s="148" t="str" cm="1">
        <f t="array" ref="AA173">Common_InputFunctions.Utility_DisplayArrayInTable(Fertiliser_SourceData.Fertiliser_Products_Data3(), FertiliserProducts[[#Headers],[Company]],61)</f>
        <v/>
      </c>
      <c r="AB173" s="148" t="str" cm="1">
        <f t="array" ref="AB173">Common_InputFunctions.Utility_DisplayArrayInTable(Fertiliser_SourceData.Fertiliser_Products_Data3(), FertiliserProducts[[#Headers],[Company]],61)</f>
        <v/>
      </c>
      <c r="AC173" s="148" t="str" cm="1">
        <f t="array" ref="AC173">Common_InputFunctions.Utility_DisplayArrayInTable(Fertiliser_SourceData.Fertiliser_Products_Data3(), FertiliserProducts[[#Headers],[Company]],61)</f>
        <v/>
      </c>
      <c r="AD173" s="148" t="str" cm="1">
        <f t="array" ref="AD173">Common_InputFunctions.Utility_DisplayArrayInTable(Fertiliser_SourceData.Fertiliser_Products_Data3(), FertiliserProducts[[#Headers],[Company]],61)</f>
        <v/>
      </c>
      <c r="AE173" s="148" t="str" cm="1">
        <f t="array" ref="AE173">Common_InputFunctions.Utility_DisplayArrayInTable(Fertiliser_SourceData.Fertiliser_Products_Data3(), FertiliserProducts[[#Headers],[Company]],61)</f>
        <v/>
      </c>
      <c r="AF173" s="148" t="str" cm="1">
        <f t="array" ref="AF173">Common_InputFunctions.Utility_DisplayArrayInTable(Fertiliser_SourceData.Fertiliser_Products_Data3(), FertiliserProducts[[#Headers],[Company]],61)</f>
        <v/>
      </c>
      <c r="AG173" s="148" t="str" cm="1">
        <f t="array" ref="AG173">Common_InputFunctions.Utility_DisplayArrayInTable(Fertiliser_SourceData.Fertiliser_Products_Data3(), FertiliserProducts[[#Headers],[Company]],61)</f>
        <v/>
      </c>
      <c r="AH173" s="148" t="str" cm="1">
        <f t="array" ref="AH173">Common_InputFunctions.Utility_DisplayArrayInTable(Fertiliser_SourceData.Fertiliser_Products_Data3(), FertiliserProducts[[#Headers],[Company]],61)</f>
        <v/>
      </c>
      <c r="AK173" s="1"/>
    </row>
    <row r="174" spans="4:37" ht="20.100000000000001" customHeight="1" x14ac:dyDescent="0.2">
      <c r="D174" s="148" t="str" cm="1">
        <f t="array" ref="D174">Common_InputFunctions.Utility_DisplayArrayInTable(Fertiliser_SourceData.Fertiliser_Products_Data3(), FertiliserProducts[[#Headers],[Company]],61)</f>
        <v>Incitec Pivot Fertilisers</v>
      </c>
      <c r="E174" s="148" t="str" cm="1">
        <f t="array" ref="E174">Common_InputFunctions.Utility_DisplayArrayInTable(Fertiliser_SourceData.Fertiliser_Products_Data3(), FertiliserProducts[[#Headers],[Company]],61)</f>
        <v>CK 88</v>
      </c>
      <c r="F174" s="148" t="str" cm="1">
        <f t="array" ref="F174">Common_InputFunctions.Utility_DisplayArrayInTable(Fertiliser_SourceData.Fertiliser_Products_Data3(), FertiliserProducts[[#Headers],[Company]],61)</f>
        <v>kg</v>
      </c>
      <c r="G174" s="148" cm="1">
        <f t="array" ref="G174">Common_InputFunctions.Utility_DisplayArrayInTable(Fertiliser_SourceData.Fertiliser_Products_Data3(), FertiliserProducts[[#Headers],[Company]],61)</f>
        <v>1</v>
      </c>
      <c r="H174" s="148" t="str" cm="1">
        <f t="array" ref="H174">Common_InputFunctions.Utility_DisplayArrayInTable(Fertiliser_SourceData.Fertiliser_Products_Data3(), FertiliserProducts[[#Headers],[Company]],61)</f>
        <v/>
      </c>
      <c r="I174" s="148" t="str" cm="1">
        <f t="array" ref="I174">Common_InputFunctions.Utility_DisplayArrayInTable(Fertiliser_SourceData.Fertiliser_Products_Data3(), FertiliserProducts[[#Headers],[Company]],61)</f>
        <v/>
      </c>
      <c r="J174" s="148" t="str" cm="1">
        <f t="array" ref="J174">Common_InputFunctions.Utility_DisplayArrayInTable(Fertiliser_SourceData.Fertiliser_Products_Data3(), FertiliserProducts[[#Headers],[Company]],61)</f>
        <v/>
      </c>
      <c r="K174" s="148" cm="1">
        <f t="array" ref="K174">Common_InputFunctions.Utility_DisplayArrayInTable(Fertiliser_SourceData.Fertiliser_Products_Data3(), FertiliserProducts[[#Headers],[Company]],61)</f>
        <v>15.1</v>
      </c>
      <c r="L174" s="148" cm="1">
        <f t="array" ref="L174">Common_InputFunctions.Utility_DisplayArrayInTable(Fertiliser_SourceData.Fertiliser_Products_Data3(), FertiliserProducts[[#Headers],[Company]],61)</f>
        <v>4.4000000000000004</v>
      </c>
      <c r="M174" s="148" cm="1">
        <f t="array" ref="M174">Common_InputFunctions.Utility_DisplayArrayInTable(Fertiliser_SourceData.Fertiliser_Products_Data3(), FertiliserProducts[[#Headers],[Company]],61)</f>
        <v>11.5</v>
      </c>
      <c r="N174" s="148" cm="1">
        <f t="array" ref="N174">Common_InputFunctions.Utility_DisplayArrayInTable(Fertiliser_SourceData.Fertiliser_Products_Data3(), FertiliserProducts[[#Headers],[Company]],61)</f>
        <v>13.6</v>
      </c>
      <c r="O174" s="148" t="str" cm="1">
        <f t="array" ref="O174">Common_InputFunctions.Utility_DisplayArrayInTable(Fertiliser_SourceData.Fertiliser_Products_Data3(), FertiliserProducts[[#Headers],[Company]],61)</f>
        <v>Nitrogen - Generic</v>
      </c>
      <c r="P174" s="148" cm="1">
        <f t="array" ref="P174">Common_InputFunctions.Utility_DisplayArrayInTable(Fertiliser_SourceData.Fertiliser_Products_Data3(), FertiliserProducts[[#Headers],[Company]],61)</f>
        <v>0.151</v>
      </c>
      <c r="Q174" s="148" t="str" cm="1">
        <f t="array" ref="Q174">Common_InputFunctions.Utility_DisplayArrayInTable(Fertiliser_SourceData.Fertiliser_Products_Data3(), FertiliserProducts[[#Headers],[Company]],61)</f>
        <v>Phosphorus - Generic</v>
      </c>
      <c r="R174" s="148" cm="1">
        <f t="array" ref="R174">Common_InputFunctions.Utility_DisplayArrayInTable(Fertiliser_SourceData.Fertiliser_Products_Data3(), FertiliserProducts[[#Headers],[Company]],61)</f>
        <v>4.3999999999999997E-2</v>
      </c>
      <c r="S174" s="148" t="str" cm="1">
        <f t="array" ref="S174">Common_InputFunctions.Utility_DisplayArrayInTable(Fertiliser_SourceData.Fertiliser_Products_Data3(), FertiliserProducts[[#Headers],[Company]],61)</f>
        <v>Potassium - Generic</v>
      </c>
      <c r="T174" s="148" cm="1">
        <f t="array" ref="T174">Common_InputFunctions.Utility_DisplayArrayInTable(Fertiliser_SourceData.Fertiliser_Products_Data3(), FertiliserProducts[[#Headers],[Company]],61)</f>
        <v>0.115</v>
      </c>
      <c r="U174" s="148" t="str" cm="1">
        <f t="array" ref="U174">Common_InputFunctions.Utility_DisplayArrayInTable(Fertiliser_SourceData.Fertiliser_Products_Data3(), FertiliserProducts[[#Headers],[Company]],61)</f>
        <v>Sulfur - Generic</v>
      </c>
      <c r="V174" s="148" cm="1">
        <f t="array" ref="V174">Common_InputFunctions.Utility_DisplayArrayInTable(Fertiliser_SourceData.Fertiliser_Products_Data3(), FertiliserProducts[[#Headers],[Company]],61)</f>
        <v>0.13600000000000001</v>
      </c>
      <c r="W174" s="148" t="str" cm="1">
        <f t="array" ref="W174">Common_InputFunctions.Utility_DisplayArrayInTable(Fertiliser_SourceData.Fertiliser_Products_Data3(), FertiliserProducts[[#Headers],[Company]],61)</f>
        <v/>
      </c>
      <c r="X174" s="148" t="str" cm="1">
        <f t="array" ref="X174">Common_InputFunctions.Utility_DisplayArrayInTable(Fertiliser_SourceData.Fertiliser_Products_Data3(), FertiliserProducts[[#Headers],[Company]],61)</f>
        <v/>
      </c>
      <c r="Y174" s="148" t="str" cm="1">
        <f t="array" ref="Y174">Common_InputFunctions.Utility_DisplayArrayInTable(Fertiliser_SourceData.Fertiliser_Products_Data3(), FertiliserProducts[[#Headers],[Company]],61)</f>
        <v/>
      </c>
      <c r="Z174" s="148" t="str" cm="1">
        <f t="array" ref="Z174">Common_InputFunctions.Utility_DisplayArrayInTable(Fertiliser_SourceData.Fertiliser_Products_Data3(), FertiliserProducts[[#Headers],[Company]],61)</f>
        <v/>
      </c>
      <c r="AA174" s="148" t="str" cm="1">
        <f t="array" ref="AA174">Common_InputFunctions.Utility_DisplayArrayInTable(Fertiliser_SourceData.Fertiliser_Products_Data3(), FertiliserProducts[[#Headers],[Company]],61)</f>
        <v/>
      </c>
      <c r="AB174" s="148" t="str" cm="1">
        <f t="array" ref="AB174">Common_InputFunctions.Utility_DisplayArrayInTable(Fertiliser_SourceData.Fertiliser_Products_Data3(), FertiliserProducts[[#Headers],[Company]],61)</f>
        <v/>
      </c>
      <c r="AC174" s="148" t="str" cm="1">
        <f t="array" ref="AC174">Common_InputFunctions.Utility_DisplayArrayInTable(Fertiliser_SourceData.Fertiliser_Products_Data3(), FertiliserProducts[[#Headers],[Company]],61)</f>
        <v/>
      </c>
      <c r="AD174" s="148" t="str" cm="1">
        <f t="array" ref="AD174">Common_InputFunctions.Utility_DisplayArrayInTable(Fertiliser_SourceData.Fertiliser_Products_Data3(), FertiliserProducts[[#Headers],[Company]],61)</f>
        <v/>
      </c>
      <c r="AE174" s="148" t="str" cm="1">
        <f t="array" ref="AE174">Common_InputFunctions.Utility_DisplayArrayInTable(Fertiliser_SourceData.Fertiliser_Products_Data3(), FertiliserProducts[[#Headers],[Company]],61)</f>
        <v/>
      </c>
      <c r="AF174" s="148" t="str" cm="1">
        <f t="array" ref="AF174">Common_InputFunctions.Utility_DisplayArrayInTable(Fertiliser_SourceData.Fertiliser_Products_Data3(), FertiliserProducts[[#Headers],[Company]],61)</f>
        <v/>
      </c>
      <c r="AG174" s="148" t="str" cm="1">
        <f t="array" ref="AG174">Common_InputFunctions.Utility_DisplayArrayInTable(Fertiliser_SourceData.Fertiliser_Products_Data3(), FertiliserProducts[[#Headers],[Company]],61)</f>
        <v/>
      </c>
      <c r="AH174" s="148" t="str" cm="1">
        <f t="array" ref="AH174">Common_InputFunctions.Utility_DisplayArrayInTable(Fertiliser_SourceData.Fertiliser_Products_Data3(), FertiliserProducts[[#Headers],[Company]],61)</f>
        <v/>
      </c>
      <c r="AK174" s="1"/>
    </row>
    <row r="175" spans="4:37" ht="20.100000000000001" customHeight="1" x14ac:dyDescent="0.2">
      <c r="D175" s="148" t="str" cm="1">
        <f t="array" ref="D175">Common_InputFunctions.Utility_DisplayArrayInTable(Fertiliser_SourceData.Fertiliser_Products_Data3(), FertiliserProducts[[#Headers],[Company]],61)</f>
        <v>Incitec Pivot Fertilisers</v>
      </c>
      <c r="E175" s="148" t="str" cm="1">
        <f t="array" ref="E175">Common_InputFunctions.Utility_DisplayArrayInTable(Fertiliser_SourceData.Fertiliser_Products_Data3(), FertiliserProducts[[#Headers],[Company]],61)</f>
        <v>CropLift 15</v>
      </c>
      <c r="F175" s="148" t="str" cm="1">
        <f t="array" ref="F175">Common_InputFunctions.Utility_DisplayArrayInTable(Fertiliser_SourceData.Fertiliser_Products_Data3(), FertiliserProducts[[#Headers],[Company]],61)</f>
        <v>kg</v>
      </c>
      <c r="G175" s="148" cm="1">
        <f t="array" ref="G175">Common_InputFunctions.Utility_DisplayArrayInTable(Fertiliser_SourceData.Fertiliser_Products_Data3(), FertiliserProducts[[#Headers],[Company]],61)</f>
        <v>1</v>
      </c>
      <c r="H175" s="148" t="str" cm="1">
        <f t="array" ref="H175">Common_InputFunctions.Utility_DisplayArrayInTable(Fertiliser_SourceData.Fertiliser_Products_Data3(), FertiliserProducts[[#Headers],[Company]],61)</f>
        <v/>
      </c>
      <c r="I175" s="148" t="str" cm="1">
        <f t="array" ref="I175">Common_InputFunctions.Utility_DisplayArrayInTable(Fertiliser_SourceData.Fertiliser_Products_Data3(), FertiliserProducts[[#Headers],[Company]],61)</f>
        <v/>
      </c>
      <c r="J175" s="148" t="str" cm="1">
        <f t="array" ref="J175">Common_InputFunctions.Utility_DisplayArrayInTable(Fertiliser_SourceData.Fertiliser_Products_Data3(), FertiliserProducts[[#Headers],[Company]],61)</f>
        <v/>
      </c>
      <c r="K175" s="148" cm="1">
        <f t="array" ref="K175">Common_InputFunctions.Utility_DisplayArrayInTable(Fertiliser_SourceData.Fertiliser_Products_Data3(), FertiliserProducts[[#Headers],[Company]],61)</f>
        <v>14.6</v>
      </c>
      <c r="L175" s="148" cm="1">
        <f t="array" ref="L175">Common_InputFunctions.Utility_DisplayArrayInTable(Fertiliser_SourceData.Fertiliser_Products_Data3(), FertiliserProducts[[#Headers],[Company]],61)</f>
        <v>12.1</v>
      </c>
      <c r="M175" s="148" t="str" cm="1">
        <f t="array" ref="M175">Common_InputFunctions.Utility_DisplayArrayInTable(Fertiliser_SourceData.Fertiliser_Products_Data3(), FertiliserProducts[[#Headers],[Company]],61)</f>
        <v/>
      </c>
      <c r="N175" s="148" cm="1">
        <f t="array" ref="N175">Common_InputFunctions.Utility_DisplayArrayInTable(Fertiliser_SourceData.Fertiliser_Products_Data3(), FertiliserProducts[[#Headers],[Company]],61)</f>
        <v>11.6</v>
      </c>
      <c r="O175" s="148" t="str" cm="1">
        <f t="array" ref="O175">Common_InputFunctions.Utility_DisplayArrayInTable(Fertiliser_SourceData.Fertiliser_Products_Data3(), FertiliserProducts[[#Headers],[Company]],61)</f>
        <v>Nitrogen - Generic</v>
      </c>
      <c r="P175" s="148" cm="1">
        <f t="array" ref="P175">Common_InputFunctions.Utility_DisplayArrayInTable(Fertiliser_SourceData.Fertiliser_Products_Data3(), FertiliserProducts[[#Headers],[Company]],61)</f>
        <v>0.14599999999999999</v>
      </c>
      <c r="Q175" s="148" t="str" cm="1">
        <f t="array" ref="Q175">Common_InputFunctions.Utility_DisplayArrayInTable(Fertiliser_SourceData.Fertiliser_Products_Data3(), FertiliserProducts[[#Headers],[Company]],61)</f>
        <v>Phosphorus - Generic</v>
      </c>
      <c r="R175" s="148" cm="1">
        <f t="array" ref="R175">Common_InputFunctions.Utility_DisplayArrayInTable(Fertiliser_SourceData.Fertiliser_Products_Data3(), FertiliserProducts[[#Headers],[Company]],61)</f>
        <v>0.121</v>
      </c>
      <c r="S175" s="148" t="str" cm="1">
        <f t="array" ref="S175">Common_InputFunctions.Utility_DisplayArrayInTable(Fertiliser_SourceData.Fertiliser_Products_Data3(), FertiliserProducts[[#Headers],[Company]],61)</f>
        <v>Sulfur - Generic</v>
      </c>
      <c r="T175" s="148" cm="1">
        <f t="array" ref="T175">Common_InputFunctions.Utility_DisplayArrayInTable(Fertiliser_SourceData.Fertiliser_Products_Data3(), FertiliserProducts[[#Headers],[Company]],61)</f>
        <v>0.11600000000000001</v>
      </c>
      <c r="U175" s="148" t="str" cm="1">
        <f t="array" ref="U175">Common_InputFunctions.Utility_DisplayArrayInTable(Fertiliser_SourceData.Fertiliser_Products_Data3(), FertiliserProducts[[#Headers],[Company]],61)</f>
        <v/>
      </c>
      <c r="V175" s="148" t="str" cm="1">
        <f t="array" ref="V175">Common_InputFunctions.Utility_DisplayArrayInTable(Fertiliser_SourceData.Fertiliser_Products_Data3(), FertiliserProducts[[#Headers],[Company]],61)</f>
        <v/>
      </c>
      <c r="W175" s="148" t="str" cm="1">
        <f t="array" ref="W175">Common_InputFunctions.Utility_DisplayArrayInTable(Fertiliser_SourceData.Fertiliser_Products_Data3(), FertiliserProducts[[#Headers],[Company]],61)</f>
        <v/>
      </c>
      <c r="X175" s="148" t="str" cm="1">
        <f t="array" ref="X175">Common_InputFunctions.Utility_DisplayArrayInTable(Fertiliser_SourceData.Fertiliser_Products_Data3(), FertiliserProducts[[#Headers],[Company]],61)</f>
        <v/>
      </c>
      <c r="Y175" s="148" t="str" cm="1">
        <f t="array" ref="Y175">Common_InputFunctions.Utility_DisplayArrayInTable(Fertiliser_SourceData.Fertiliser_Products_Data3(), FertiliserProducts[[#Headers],[Company]],61)</f>
        <v/>
      </c>
      <c r="Z175" s="148" t="str" cm="1">
        <f t="array" ref="Z175">Common_InputFunctions.Utility_DisplayArrayInTable(Fertiliser_SourceData.Fertiliser_Products_Data3(), FertiliserProducts[[#Headers],[Company]],61)</f>
        <v/>
      </c>
      <c r="AA175" s="148" t="str" cm="1">
        <f t="array" ref="AA175">Common_InputFunctions.Utility_DisplayArrayInTable(Fertiliser_SourceData.Fertiliser_Products_Data3(), FertiliserProducts[[#Headers],[Company]],61)</f>
        <v/>
      </c>
      <c r="AB175" s="148" t="str" cm="1">
        <f t="array" ref="AB175">Common_InputFunctions.Utility_DisplayArrayInTable(Fertiliser_SourceData.Fertiliser_Products_Data3(), FertiliserProducts[[#Headers],[Company]],61)</f>
        <v/>
      </c>
      <c r="AC175" s="148" t="str" cm="1">
        <f t="array" ref="AC175">Common_InputFunctions.Utility_DisplayArrayInTable(Fertiliser_SourceData.Fertiliser_Products_Data3(), FertiliserProducts[[#Headers],[Company]],61)</f>
        <v/>
      </c>
      <c r="AD175" s="148" t="str" cm="1">
        <f t="array" ref="AD175">Common_InputFunctions.Utility_DisplayArrayInTable(Fertiliser_SourceData.Fertiliser_Products_Data3(), FertiliserProducts[[#Headers],[Company]],61)</f>
        <v/>
      </c>
      <c r="AE175" s="148" t="str" cm="1">
        <f t="array" ref="AE175">Common_InputFunctions.Utility_DisplayArrayInTable(Fertiliser_SourceData.Fertiliser_Products_Data3(), FertiliserProducts[[#Headers],[Company]],61)</f>
        <v/>
      </c>
      <c r="AF175" s="148" t="str" cm="1">
        <f t="array" ref="AF175">Common_InputFunctions.Utility_DisplayArrayInTable(Fertiliser_SourceData.Fertiliser_Products_Data3(), FertiliserProducts[[#Headers],[Company]],61)</f>
        <v/>
      </c>
      <c r="AG175" s="148" t="str" cm="1">
        <f t="array" ref="AG175">Common_InputFunctions.Utility_DisplayArrayInTable(Fertiliser_SourceData.Fertiliser_Products_Data3(), FertiliserProducts[[#Headers],[Company]],61)</f>
        <v/>
      </c>
      <c r="AH175" s="148" t="str" cm="1">
        <f t="array" ref="AH175">Common_InputFunctions.Utility_DisplayArrayInTable(Fertiliser_SourceData.Fertiliser_Products_Data3(), FertiliserProducts[[#Headers],[Company]],61)</f>
        <v/>
      </c>
      <c r="AK175" s="1"/>
    </row>
    <row r="176" spans="4:37" ht="20.100000000000001" customHeight="1" x14ac:dyDescent="0.2">
      <c r="D176" s="148" t="str" cm="1">
        <f t="array" ref="D176">Common_InputFunctions.Utility_DisplayArrayInTable(Fertiliser_SourceData.Fertiliser_Products_Data3(), FertiliserProducts[[#Headers],[Company]],61)</f>
        <v>Incitec Pivot Fertilisers</v>
      </c>
      <c r="E176" s="148" t="str" cm="1">
        <f t="array" ref="E176">Common_InputFunctions.Utility_DisplayArrayInTable(Fertiliser_SourceData.Fertiliser_Products_Data3(), FertiliserProducts[[#Headers],[Company]],61)</f>
        <v>NPKS 19-13-0-9</v>
      </c>
      <c r="F176" s="148" t="str" cm="1">
        <f t="array" ref="F176">Common_InputFunctions.Utility_DisplayArrayInTable(Fertiliser_SourceData.Fertiliser_Products_Data3(), FertiliserProducts[[#Headers],[Company]],61)</f>
        <v>kg</v>
      </c>
      <c r="G176" s="148" cm="1">
        <f t="array" ref="G176">Common_InputFunctions.Utility_DisplayArrayInTable(Fertiliser_SourceData.Fertiliser_Products_Data3(), FertiliserProducts[[#Headers],[Company]],61)</f>
        <v>1</v>
      </c>
      <c r="H176" s="148" t="str" cm="1">
        <f t="array" ref="H176">Common_InputFunctions.Utility_DisplayArrayInTable(Fertiliser_SourceData.Fertiliser_Products_Data3(), FertiliserProducts[[#Headers],[Company]],61)</f>
        <v/>
      </c>
      <c r="I176" s="148" t="str" cm="1">
        <f t="array" ref="I176">Common_InputFunctions.Utility_DisplayArrayInTable(Fertiliser_SourceData.Fertiliser_Products_Data3(), FertiliserProducts[[#Headers],[Company]],61)</f>
        <v/>
      </c>
      <c r="J176" s="148" t="str" cm="1">
        <f t="array" ref="J176">Common_InputFunctions.Utility_DisplayArrayInTable(Fertiliser_SourceData.Fertiliser_Products_Data3(), FertiliserProducts[[#Headers],[Company]],61)</f>
        <v/>
      </c>
      <c r="K176" s="148" cm="1">
        <f t="array" ref="K176">Common_InputFunctions.Utility_DisplayArrayInTable(Fertiliser_SourceData.Fertiliser_Products_Data3(), FertiliserProducts[[#Headers],[Company]],61)</f>
        <v>19</v>
      </c>
      <c r="L176" s="148" cm="1">
        <f t="array" ref="L176">Common_InputFunctions.Utility_DisplayArrayInTable(Fertiliser_SourceData.Fertiliser_Products_Data3(), FertiliserProducts[[#Headers],[Company]],61)</f>
        <v>13</v>
      </c>
      <c r="M176" s="148" cm="1">
        <f t="array" ref="M176">Common_InputFunctions.Utility_DisplayArrayInTable(Fertiliser_SourceData.Fertiliser_Products_Data3(), FertiliserProducts[[#Headers],[Company]],61)</f>
        <v>0</v>
      </c>
      <c r="N176" s="148" cm="1">
        <f t="array" ref="N176">Common_InputFunctions.Utility_DisplayArrayInTable(Fertiliser_SourceData.Fertiliser_Products_Data3(), FertiliserProducts[[#Headers],[Company]],61)</f>
        <v>9</v>
      </c>
      <c r="O176" s="148" t="str" cm="1">
        <f t="array" ref="O176">Common_InputFunctions.Utility_DisplayArrayInTable(Fertiliser_SourceData.Fertiliser_Products_Data3(), FertiliserProducts[[#Headers],[Company]],61)</f>
        <v>Nitrogen - Generic</v>
      </c>
      <c r="P176" s="148" cm="1">
        <f t="array" ref="P176">Common_InputFunctions.Utility_DisplayArrayInTable(Fertiliser_SourceData.Fertiliser_Products_Data3(), FertiliserProducts[[#Headers],[Company]],61)</f>
        <v>0.19</v>
      </c>
      <c r="Q176" s="148" t="str" cm="1">
        <f t="array" ref="Q176">Common_InputFunctions.Utility_DisplayArrayInTable(Fertiliser_SourceData.Fertiliser_Products_Data3(), FertiliserProducts[[#Headers],[Company]],61)</f>
        <v>Phosphorus - Generic</v>
      </c>
      <c r="R176" s="148" cm="1">
        <f t="array" ref="R176">Common_InputFunctions.Utility_DisplayArrayInTable(Fertiliser_SourceData.Fertiliser_Products_Data3(), FertiliserProducts[[#Headers],[Company]],61)</f>
        <v>0.13</v>
      </c>
      <c r="S176" s="148" t="str" cm="1">
        <f t="array" ref="S176">Common_InputFunctions.Utility_DisplayArrayInTable(Fertiliser_SourceData.Fertiliser_Products_Data3(), FertiliserProducts[[#Headers],[Company]],61)</f>
        <v>Sulfur - Generic</v>
      </c>
      <c r="T176" s="148" cm="1">
        <f t="array" ref="T176">Common_InputFunctions.Utility_DisplayArrayInTable(Fertiliser_SourceData.Fertiliser_Products_Data3(), FertiliserProducts[[#Headers],[Company]],61)</f>
        <v>0.09</v>
      </c>
      <c r="U176" s="148" t="str" cm="1">
        <f t="array" ref="U176">Common_InputFunctions.Utility_DisplayArrayInTable(Fertiliser_SourceData.Fertiliser_Products_Data3(), FertiliserProducts[[#Headers],[Company]],61)</f>
        <v/>
      </c>
      <c r="V176" s="148" t="str" cm="1">
        <f t="array" ref="V176">Common_InputFunctions.Utility_DisplayArrayInTable(Fertiliser_SourceData.Fertiliser_Products_Data3(), FertiliserProducts[[#Headers],[Company]],61)</f>
        <v/>
      </c>
      <c r="W176" s="148" t="str" cm="1">
        <f t="array" ref="W176">Common_InputFunctions.Utility_DisplayArrayInTable(Fertiliser_SourceData.Fertiliser_Products_Data3(), FertiliserProducts[[#Headers],[Company]],61)</f>
        <v/>
      </c>
      <c r="X176" s="148" t="str" cm="1">
        <f t="array" ref="X176">Common_InputFunctions.Utility_DisplayArrayInTable(Fertiliser_SourceData.Fertiliser_Products_Data3(), FertiliserProducts[[#Headers],[Company]],61)</f>
        <v/>
      </c>
      <c r="Y176" s="148" t="str" cm="1">
        <f t="array" ref="Y176">Common_InputFunctions.Utility_DisplayArrayInTable(Fertiliser_SourceData.Fertiliser_Products_Data3(), FertiliserProducts[[#Headers],[Company]],61)</f>
        <v/>
      </c>
      <c r="Z176" s="148" t="str" cm="1">
        <f t="array" ref="Z176">Common_InputFunctions.Utility_DisplayArrayInTable(Fertiliser_SourceData.Fertiliser_Products_Data3(), FertiliserProducts[[#Headers],[Company]],61)</f>
        <v/>
      </c>
      <c r="AA176" s="148" t="str" cm="1">
        <f t="array" ref="AA176">Common_InputFunctions.Utility_DisplayArrayInTable(Fertiliser_SourceData.Fertiliser_Products_Data3(), FertiliserProducts[[#Headers],[Company]],61)</f>
        <v/>
      </c>
      <c r="AB176" s="148" t="str" cm="1">
        <f t="array" ref="AB176">Common_InputFunctions.Utility_DisplayArrayInTable(Fertiliser_SourceData.Fertiliser_Products_Data3(), FertiliserProducts[[#Headers],[Company]],61)</f>
        <v/>
      </c>
      <c r="AC176" s="148" t="str" cm="1">
        <f t="array" ref="AC176">Common_InputFunctions.Utility_DisplayArrayInTable(Fertiliser_SourceData.Fertiliser_Products_Data3(), FertiliserProducts[[#Headers],[Company]],61)</f>
        <v/>
      </c>
      <c r="AD176" s="148" t="str" cm="1">
        <f t="array" ref="AD176">Common_InputFunctions.Utility_DisplayArrayInTable(Fertiliser_SourceData.Fertiliser_Products_Data3(), FertiliserProducts[[#Headers],[Company]],61)</f>
        <v/>
      </c>
      <c r="AE176" s="148" t="str" cm="1">
        <f t="array" ref="AE176">Common_InputFunctions.Utility_DisplayArrayInTable(Fertiliser_SourceData.Fertiliser_Products_Data3(), FertiliserProducts[[#Headers],[Company]],61)</f>
        <v/>
      </c>
      <c r="AF176" s="148" t="str" cm="1">
        <f t="array" ref="AF176">Common_InputFunctions.Utility_DisplayArrayInTable(Fertiliser_SourceData.Fertiliser_Products_Data3(), FertiliserProducts[[#Headers],[Company]],61)</f>
        <v/>
      </c>
      <c r="AG176" s="148" t="str" cm="1">
        <f t="array" ref="AG176">Common_InputFunctions.Utility_DisplayArrayInTable(Fertiliser_SourceData.Fertiliser_Products_Data3(), FertiliserProducts[[#Headers],[Company]],61)</f>
        <v/>
      </c>
      <c r="AH176" s="148" t="str" cm="1">
        <f t="array" ref="AH176">Common_InputFunctions.Utility_DisplayArrayInTable(Fertiliser_SourceData.Fertiliser_Products_Data3(), FertiliserProducts[[#Headers],[Company]],61)</f>
        <v/>
      </c>
      <c r="AK176" s="1"/>
    </row>
    <row r="177" spans="1:37" ht="20.100000000000001" customHeight="1" x14ac:dyDescent="0.2">
      <c r="D177" s="148" t="str" cm="1">
        <f t="array" ref="D177">Common_InputFunctions.Utility_DisplayArrayInTable(Fertiliser_SourceData.Fertiliser_Products_Data3(), FertiliserProducts[[#Headers],[Company]],61)</f>
        <v>Incitec Pivot Fertilisers</v>
      </c>
      <c r="E177" s="148" t="str" cm="1">
        <f t="array" ref="E177">Common_InputFunctions.Utility_DisplayArrayInTable(Fertiliser_SourceData.Fertiliser_Products_Data3(), FertiliserProducts[[#Headers],[Company]],61)</f>
        <v>PastureBoosta</v>
      </c>
      <c r="F177" s="148" t="str" cm="1">
        <f t="array" ref="F177">Common_InputFunctions.Utility_DisplayArrayInTable(Fertiliser_SourceData.Fertiliser_Products_Data3(), FertiliserProducts[[#Headers],[Company]],61)</f>
        <v>kg</v>
      </c>
      <c r="G177" s="148" cm="1">
        <f t="array" ref="G177">Common_InputFunctions.Utility_DisplayArrayInTable(Fertiliser_SourceData.Fertiliser_Products_Data3(), FertiliserProducts[[#Headers],[Company]],61)</f>
        <v>1</v>
      </c>
      <c r="H177" s="148" t="str" cm="1">
        <f t="array" ref="H177">Common_InputFunctions.Utility_DisplayArrayInTable(Fertiliser_SourceData.Fertiliser_Products_Data3(), FertiliserProducts[[#Headers],[Company]],61)</f>
        <v/>
      </c>
      <c r="I177" s="148" t="str" cm="1">
        <f t="array" ref="I177">Common_InputFunctions.Utility_DisplayArrayInTable(Fertiliser_SourceData.Fertiliser_Products_Data3(), FertiliserProducts[[#Headers],[Company]],61)</f>
        <v/>
      </c>
      <c r="J177" s="148" t="str" cm="1">
        <f t="array" ref="J177">Common_InputFunctions.Utility_DisplayArrayInTable(Fertiliser_SourceData.Fertiliser_Products_Data3(), FertiliserProducts[[#Headers],[Company]],61)</f>
        <v/>
      </c>
      <c r="K177" s="148" cm="1">
        <f t="array" ref="K177">Common_InputFunctions.Utility_DisplayArrayInTable(Fertiliser_SourceData.Fertiliser_Products_Data3(), FertiliserProducts[[#Headers],[Company]],61)</f>
        <v>23.8</v>
      </c>
      <c r="L177" s="148" cm="1">
        <f t="array" ref="L177">Common_InputFunctions.Utility_DisplayArrayInTable(Fertiliser_SourceData.Fertiliser_Products_Data3(), FertiliserProducts[[#Headers],[Company]],61)</f>
        <v>3.7</v>
      </c>
      <c r="M177" s="148" cm="1">
        <f t="array" ref="M177">Common_InputFunctions.Utility_DisplayArrayInTable(Fertiliser_SourceData.Fertiliser_Products_Data3(), FertiliserProducts[[#Headers],[Company]],61)</f>
        <v>13</v>
      </c>
      <c r="N177" s="148" cm="1">
        <f t="array" ref="N177">Common_InputFunctions.Utility_DisplayArrayInTable(Fertiliser_SourceData.Fertiliser_Products_Data3(), FertiliserProducts[[#Headers],[Company]],61)</f>
        <v>4.0999999999999996</v>
      </c>
      <c r="O177" s="148" t="str" cm="1">
        <f t="array" ref="O177">Common_InputFunctions.Utility_DisplayArrayInTable(Fertiliser_SourceData.Fertiliser_Products_Data3(), FertiliserProducts[[#Headers],[Company]],61)</f>
        <v>Nitrogen - Generic</v>
      </c>
      <c r="P177" s="148" cm="1">
        <f t="array" ref="P177">Common_InputFunctions.Utility_DisplayArrayInTable(Fertiliser_SourceData.Fertiliser_Products_Data3(), FertiliserProducts[[#Headers],[Company]],61)</f>
        <v>0.23799999999999999</v>
      </c>
      <c r="Q177" s="148" t="str" cm="1">
        <f t="array" ref="Q177">Common_InputFunctions.Utility_DisplayArrayInTable(Fertiliser_SourceData.Fertiliser_Products_Data3(), FertiliserProducts[[#Headers],[Company]],61)</f>
        <v>Phosphorus - Generic</v>
      </c>
      <c r="R177" s="148" cm="1">
        <f t="array" ref="R177">Common_InputFunctions.Utility_DisplayArrayInTable(Fertiliser_SourceData.Fertiliser_Products_Data3(), FertiliserProducts[[#Headers],[Company]],61)</f>
        <v>3.6999999999999998E-2</v>
      </c>
      <c r="S177" s="148" t="str" cm="1">
        <f t="array" ref="S177">Common_InputFunctions.Utility_DisplayArrayInTable(Fertiliser_SourceData.Fertiliser_Products_Data3(), FertiliserProducts[[#Headers],[Company]],61)</f>
        <v>Potassium - Generic</v>
      </c>
      <c r="T177" s="148" cm="1">
        <f t="array" ref="T177">Common_InputFunctions.Utility_DisplayArrayInTable(Fertiliser_SourceData.Fertiliser_Products_Data3(), FertiliserProducts[[#Headers],[Company]],61)</f>
        <v>0.13</v>
      </c>
      <c r="U177" s="148" t="str" cm="1">
        <f t="array" ref="U177">Common_InputFunctions.Utility_DisplayArrayInTable(Fertiliser_SourceData.Fertiliser_Products_Data3(), FertiliserProducts[[#Headers],[Company]],61)</f>
        <v>Sulfur - Generic</v>
      </c>
      <c r="V177" s="148" cm="1">
        <f t="array" ref="V177">Common_InputFunctions.Utility_DisplayArrayInTable(Fertiliser_SourceData.Fertiliser_Products_Data3(), FertiliserProducts[[#Headers],[Company]],61)</f>
        <v>4.1000000000000002E-2</v>
      </c>
      <c r="W177" s="148" t="str" cm="1">
        <f t="array" ref="W177">Common_InputFunctions.Utility_DisplayArrayInTable(Fertiliser_SourceData.Fertiliser_Products_Data3(), FertiliserProducts[[#Headers],[Company]],61)</f>
        <v/>
      </c>
      <c r="X177" s="148" t="str" cm="1">
        <f t="array" ref="X177">Common_InputFunctions.Utility_DisplayArrayInTable(Fertiliser_SourceData.Fertiliser_Products_Data3(), FertiliserProducts[[#Headers],[Company]],61)</f>
        <v/>
      </c>
      <c r="Y177" s="148" t="str" cm="1">
        <f t="array" ref="Y177">Common_InputFunctions.Utility_DisplayArrayInTable(Fertiliser_SourceData.Fertiliser_Products_Data3(), FertiliserProducts[[#Headers],[Company]],61)</f>
        <v/>
      </c>
      <c r="Z177" s="148" t="str" cm="1">
        <f t="array" ref="Z177">Common_InputFunctions.Utility_DisplayArrayInTable(Fertiliser_SourceData.Fertiliser_Products_Data3(), FertiliserProducts[[#Headers],[Company]],61)</f>
        <v/>
      </c>
      <c r="AA177" s="148" t="str" cm="1">
        <f t="array" ref="AA177">Common_InputFunctions.Utility_DisplayArrayInTable(Fertiliser_SourceData.Fertiliser_Products_Data3(), FertiliserProducts[[#Headers],[Company]],61)</f>
        <v/>
      </c>
      <c r="AB177" s="148" t="str" cm="1">
        <f t="array" ref="AB177">Common_InputFunctions.Utility_DisplayArrayInTable(Fertiliser_SourceData.Fertiliser_Products_Data3(), FertiliserProducts[[#Headers],[Company]],61)</f>
        <v/>
      </c>
      <c r="AC177" s="148" t="str" cm="1">
        <f t="array" ref="AC177">Common_InputFunctions.Utility_DisplayArrayInTable(Fertiliser_SourceData.Fertiliser_Products_Data3(), FertiliserProducts[[#Headers],[Company]],61)</f>
        <v/>
      </c>
      <c r="AD177" s="148" t="str" cm="1">
        <f t="array" ref="AD177">Common_InputFunctions.Utility_DisplayArrayInTable(Fertiliser_SourceData.Fertiliser_Products_Data3(), FertiliserProducts[[#Headers],[Company]],61)</f>
        <v/>
      </c>
      <c r="AE177" s="148" t="str" cm="1">
        <f t="array" ref="AE177">Common_InputFunctions.Utility_DisplayArrayInTable(Fertiliser_SourceData.Fertiliser_Products_Data3(), FertiliserProducts[[#Headers],[Company]],61)</f>
        <v/>
      </c>
      <c r="AF177" s="148" t="str" cm="1">
        <f t="array" ref="AF177">Common_InputFunctions.Utility_DisplayArrayInTable(Fertiliser_SourceData.Fertiliser_Products_Data3(), FertiliserProducts[[#Headers],[Company]],61)</f>
        <v/>
      </c>
      <c r="AG177" s="148" t="str" cm="1">
        <f t="array" ref="AG177">Common_InputFunctions.Utility_DisplayArrayInTable(Fertiliser_SourceData.Fertiliser_Products_Data3(), FertiliserProducts[[#Headers],[Company]],61)</f>
        <v/>
      </c>
      <c r="AH177" s="148" t="str" cm="1">
        <f t="array" ref="AH177">Common_InputFunctions.Utility_DisplayArrayInTable(Fertiliser_SourceData.Fertiliser_Products_Data3(), FertiliserProducts[[#Headers],[Company]],61)</f>
        <v/>
      </c>
      <c r="AK177" s="1"/>
    </row>
    <row r="178" spans="1:37" ht="20.100000000000001" customHeight="1" x14ac:dyDescent="0.2">
      <c r="D178" s="148" t="str" cm="1">
        <f t="array" ref="D178">Common_InputFunctions.Utility_DisplayArrayInTable(Fertiliser_SourceData.Fertiliser_Products_Data3(), FertiliserProducts[[#Headers],[Company]],61)</f>
        <v>Incitec Pivot Fertilisers</v>
      </c>
      <c r="E178" s="148" t="str" cm="1">
        <f t="array" ref="E178">Common_InputFunctions.Utility_DisplayArrayInTable(Fertiliser_SourceData.Fertiliser_Products_Data3(), FertiliserProducts[[#Headers],[Company]],61)</f>
        <v>Greentop K</v>
      </c>
      <c r="F178" s="148" t="str" cm="1">
        <f t="array" ref="F178">Common_InputFunctions.Utility_DisplayArrayInTable(Fertiliser_SourceData.Fertiliser_Products_Data3(), FertiliserProducts[[#Headers],[Company]],61)</f>
        <v>kg</v>
      </c>
      <c r="G178" s="148" cm="1">
        <f t="array" ref="G178">Common_InputFunctions.Utility_DisplayArrayInTable(Fertiliser_SourceData.Fertiliser_Products_Data3(), FertiliserProducts[[#Headers],[Company]],61)</f>
        <v>1</v>
      </c>
      <c r="H178" s="148" t="str" cm="1">
        <f t="array" ref="H178">Common_InputFunctions.Utility_DisplayArrayInTable(Fertiliser_SourceData.Fertiliser_Products_Data3(), FertiliserProducts[[#Headers],[Company]],61)</f>
        <v/>
      </c>
      <c r="I178" s="148" t="str" cm="1">
        <f t="array" ref="I178">Common_InputFunctions.Utility_DisplayArrayInTable(Fertiliser_SourceData.Fertiliser_Products_Data3(), FertiliserProducts[[#Headers],[Company]],61)</f>
        <v/>
      </c>
      <c r="J178" s="148" t="str" cm="1">
        <f t="array" ref="J178">Common_InputFunctions.Utility_DisplayArrayInTable(Fertiliser_SourceData.Fertiliser_Products_Data3(), FertiliserProducts[[#Headers],[Company]],61)</f>
        <v/>
      </c>
      <c r="K178" s="148" cm="1">
        <f t="array" ref="K178">Common_InputFunctions.Utility_DisplayArrayInTable(Fertiliser_SourceData.Fertiliser_Products_Data3(), FertiliserProducts[[#Headers],[Company]],61)</f>
        <v>32.799999999999997</v>
      </c>
      <c r="L178" s="148" t="str" cm="1">
        <f t="array" ref="L178">Common_InputFunctions.Utility_DisplayArrayInTable(Fertiliser_SourceData.Fertiliser_Products_Data3(), FertiliserProducts[[#Headers],[Company]],61)</f>
        <v/>
      </c>
      <c r="M178" s="148" cm="1">
        <f t="array" ref="M178">Common_InputFunctions.Utility_DisplayArrayInTable(Fertiliser_SourceData.Fertiliser_Products_Data3(), FertiliserProducts[[#Headers],[Company]],61)</f>
        <v>11</v>
      </c>
      <c r="N178" s="148" cm="1">
        <f t="array" ref="N178">Common_InputFunctions.Utility_DisplayArrayInTable(Fertiliser_SourceData.Fertiliser_Products_Data3(), FertiliserProducts[[#Headers],[Company]],61)</f>
        <v>2.9</v>
      </c>
      <c r="O178" s="148" t="str" cm="1">
        <f t="array" ref="O178">Common_InputFunctions.Utility_DisplayArrayInTable(Fertiliser_SourceData.Fertiliser_Products_Data3(), FertiliserProducts[[#Headers],[Company]],61)</f>
        <v>Urea</v>
      </c>
      <c r="P178" s="148" cm="1">
        <f t="array" ref="P178">Common_InputFunctions.Utility_DisplayArrayInTable(Fertiliser_SourceData.Fertiliser_Products_Data3(), FertiliserProducts[[#Headers],[Company]],61)</f>
        <v>0.66086999999999996</v>
      </c>
      <c r="Q178" s="148" t="str" cm="1">
        <f t="array" ref="Q178">Common_InputFunctions.Utility_DisplayArrayInTable(Fertiliser_SourceData.Fertiliser_Products_Data3(), FertiliserProducts[[#Headers],[Company]],61)</f>
        <v>Nitrogen - Ammoniacal</v>
      </c>
      <c r="R178" s="148" cm="1">
        <f t="array" ref="R178">Common_InputFunctions.Utility_DisplayArrayInTable(Fertiliser_SourceData.Fertiliser_Products_Data3(), FertiliserProducts[[#Headers],[Company]],61)</f>
        <v>2.4E-2</v>
      </c>
      <c r="S178" s="148" t="str" cm="1">
        <f t="array" ref="S178">Common_InputFunctions.Utility_DisplayArrayInTable(Fertiliser_SourceData.Fertiliser_Products_Data3(), FertiliserProducts[[#Headers],[Company]],61)</f>
        <v>Potassium - Generic</v>
      </c>
      <c r="T178" s="148" cm="1">
        <f t="array" ref="T178">Common_InputFunctions.Utility_DisplayArrayInTable(Fertiliser_SourceData.Fertiliser_Products_Data3(), FertiliserProducts[[#Headers],[Company]],61)</f>
        <v>0.11</v>
      </c>
      <c r="U178" s="148" t="str" cm="1">
        <f t="array" ref="U178">Common_InputFunctions.Utility_DisplayArrayInTable(Fertiliser_SourceData.Fertiliser_Products_Data3(), FertiliserProducts[[#Headers],[Company]],61)</f>
        <v>Sulfur - Generic</v>
      </c>
      <c r="V178" s="148" cm="1">
        <f t="array" ref="V178">Common_InputFunctions.Utility_DisplayArrayInTable(Fertiliser_SourceData.Fertiliser_Products_Data3(), FertiliserProducts[[#Headers],[Company]],61)</f>
        <v>2.9000000000000001E-2</v>
      </c>
      <c r="W178" s="148" t="str" cm="1">
        <f t="array" ref="W178">Common_InputFunctions.Utility_DisplayArrayInTable(Fertiliser_SourceData.Fertiliser_Products_Data3(), FertiliserProducts[[#Headers],[Company]],61)</f>
        <v/>
      </c>
      <c r="X178" s="148" t="str" cm="1">
        <f t="array" ref="X178">Common_InputFunctions.Utility_DisplayArrayInTable(Fertiliser_SourceData.Fertiliser_Products_Data3(), FertiliserProducts[[#Headers],[Company]],61)</f>
        <v/>
      </c>
      <c r="Y178" s="148" t="str" cm="1">
        <f t="array" ref="Y178">Common_InputFunctions.Utility_DisplayArrayInTable(Fertiliser_SourceData.Fertiliser_Products_Data3(), FertiliserProducts[[#Headers],[Company]],61)</f>
        <v/>
      </c>
      <c r="Z178" s="148" t="str" cm="1">
        <f t="array" ref="Z178">Common_InputFunctions.Utility_DisplayArrayInTable(Fertiliser_SourceData.Fertiliser_Products_Data3(), FertiliserProducts[[#Headers],[Company]],61)</f>
        <v/>
      </c>
      <c r="AA178" s="148" t="str" cm="1">
        <f t="array" ref="AA178">Common_InputFunctions.Utility_DisplayArrayInTable(Fertiliser_SourceData.Fertiliser_Products_Data3(), FertiliserProducts[[#Headers],[Company]],61)</f>
        <v/>
      </c>
      <c r="AB178" s="148" t="str" cm="1">
        <f t="array" ref="AB178">Common_InputFunctions.Utility_DisplayArrayInTable(Fertiliser_SourceData.Fertiliser_Products_Data3(), FertiliserProducts[[#Headers],[Company]],61)</f>
        <v/>
      </c>
      <c r="AC178" s="148" t="str" cm="1">
        <f t="array" ref="AC178">Common_InputFunctions.Utility_DisplayArrayInTable(Fertiliser_SourceData.Fertiliser_Products_Data3(), FertiliserProducts[[#Headers],[Company]],61)</f>
        <v/>
      </c>
      <c r="AD178" s="148" t="str" cm="1">
        <f t="array" ref="AD178">Common_InputFunctions.Utility_DisplayArrayInTable(Fertiliser_SourceData.Fertiliser_Products_Data3(), FertiliserProducts[[#Headers],[Company]],61)</f>
        <v/>
      </c>
      <c r="AE178" s="148" t="str" cm="1">
        <f t="array" ref="AE178">Common_InputFunctions.Utility_DisplayArrayInTable(Fertiliser_SourceData.Fertiliser_Products_Data3(), FertiliserProducts[[#Headers],[Company]],61)</f>
        <v/>
      </c>
      <c r="AF178" s="148" t="str" cm="1">
        <f t="array" ref="AF178">Common_InputFunctions.Utility_DisplayArrayInTable(Fertiliser_SourceData.Fertiliser_Products_Data3(), FertiliserProducts[[#Headers],[Company]],61)</f>
        <v/>
      </c>
      <c r="AG178" s="148" t="str" cm="1">
        <f t="array" ref="AG178">Common_InputFunctions.Utility_DisplayArrayInTable(Fertiliser_SourceData.Fertiliser_Products_Data3(), FertiliserProducts[[#Headers],[Company]],61)</f>
        <v/>
      </c>
      <c r="AH178" s="148" t="str" cm="1">
        <f t="array" ref="AH178">Common_InputFunctions.Utility_DisplayArrayInTable(Fertiliser_SourceData.Fertiliser_Products_Data3(), FertiliserProducts[[#Headers],[Company]],61)</f>
        <v/>
      </c>
      <c r="AK178" s="1"/>
    </row>
    <row r="179" spans="1:37" ht="20.100000000000001" customHeight="1" x14ac:dyDescent="0.2">
      <c r="D179" s="148" t="str" cm="1">
        <f t="array" ref="D179">Common_InputFunctions.Utility_DisplayArrayInTable(Fertiliser_SourceData.Fertiliser_Products_Data3(), FertiliserProducts[[#Headers],[Company]],61)</f>
        <v>Incitec Pivot Fertilisers</v>
      </c>
      <c r="E179" s="148" t="str" cm="1">
        <f t="array" ref="E179">Common_InputFunctions.Utility_DisplayArrayInTable(Fertiliser_SourceData.Fertiliser_Products_Data3(), FertiliserProducts[[#Headers],[Company]],61)</f>
        <v>HayBoosta</v>
      </c>
      <c r="F179" s="148" t="str" cm="1">
        <f t="array" ref="F179">Common_InputFunctions.Utility_DisplayArrayInTable(Fertiliser_SourceData.Fertiliser_Products_Data3(), FertiliserProducts[[#Headers],[Company]],61)</f>
        <v>kg</v>
      </c>
      <c r="G179" s="148" cm="1">
        <f t="array" ref="G179">Common_InputFunctions.Utility_DisplayArrayInTable(Fertiliser_SourceData.Fertiliser_Products_Data3(), FertiliserProducts[[#Headers],[Company]],61)</f>
        <v>1</v>
      </c>
      <c r="H179" s="148" t="str" cm="1">
        <f t="array" ref="H179">Common_InputFunctions.Utility_DisplayArrayInTable(Fertiliser_SourceData.Fertiliser_Products_Data3(), FertiliserProducts[[#Headers],[Company]],61)</f>
        <v/>
      </c>
      <c r="I179" s="148" t="str" cm="1">
        <f t="array" ref="I179">Common_InputFunctions.Utility_DisplayArrayInTable(Fertiliser_SourceData.Fertiliser_Products_Data3(), FertiliserProducts[[#Headers],[Company]],61)</f>
        <v/>
      </c>
      <c r="J179" s="148" t="str" cm="1">
        <f t="array" ref="J179">Common_InputFunctions.Utility_DisplayArrayInTable(Fertiliser_SourceData.Fertiliser_Products_Data3(), FertiliserProducts[[#Headers],[Company]],61)</f>
        <v/>
      </c>
      <c r="K179" s="148" cm="1">
        <f t="array" ref="K179">Common_InputFunctions.Utility_DisplayArrayInTable(Fertiliser_SourceData.Fertiliser_Products_Data3(), FertiliserProducts[[#Headers],[Company]],61)</f>
        <v>11.7</v>
      </c>
      <c r="L179" s="148" cm="1">
        <f t="array" ref="L179">Common_InputFunctions.Utility_DisplayArrayInTable(Fertiliser_SourceData.Fertiliser_Products_Data3(), FertiliserProducts[[#Headers],[Company]],61)</f>
        <v>4.7</v>
      </c>
      <c r="M179" s="148" cm="1">
        <f t="array" ref="M179">Common_InputFunctions.Utility_DisplayArrayInTable(Fertiliser_SourceData.Fertiliser_Products_Data3(), FertiliserProducts[[#Headers],[Company]],61)</f>
        <v>23.9</v>
      </c>
      <c r="N179" s="148" cm="1">
        <f t="array" ref="N179">Common_InputFunctions.Utility_DisplayArrayInTable(Fertiliser_SourceData.Fertiliser_Products_Data3(), FertiliserProducts[[#Headers],[Company]],61)</f>
        <v>4.5999999999999996</v>
      </c>
      <c r="O179" s="148" t="str" cm="1">
        <f t="array" ref="O179">Common_InputFunctions.Utility_DisplayArrayInTable(Fertiliser_SourceData.Fertiliser_Products_Data3(), FertiliserProducts[[#Headers],[Company]],61)</f>
        <v>Nitrogen - Generic</v>
      </c>
      <c r="P179" s="148" cm="1">
        <f t="array" ref="P179">Common_InputFunctions.Utility_DisplayArrayInTable(Fertiliser_SourceData.Fertiliser_Products_Data3(), FertiliserProducts[[#Headers],[Company]],61)</f>
        <v>0.11700000000000001</v>
      </c>
      <c r="Q179" s="148" t="str" cm="1">
        <f t="array" ref="Q179">Common_InputFunctions.Utility_DisplayArrayInTable(Fertiliser_SourceData.Fertiliser_Products_Data3(), FertiliserProducts[[#Headers],[Company]],61)</f>
        <v>Phosphorus - Generic</v>
      </c>
      <c r="R179" s="148" cm="1">
        <f t="array" ref="R179">Common_InputFunctions.Utility_DisplayArrayInTable(Fertiliser_SourceData.Fertiliser_Products_Data3(), FertiliserProducts[[#Headers],[Company]],61)</f>
        <v>4.7E-2</v>
      </c>
      <c r="S179" s="148" t="str" cm="1">
        <f t="array" ref="S179">Common_InputFunctions.Utility_DisplayArrayInTable(Fertiliser_SourceData.Fertiliser_Products_Data3(), FertiliserProducts[[#Headers],[Company]],61)</f>
        <v>Potassium - Generic</v>
      </c>
      <c r="T179" s="148" cm="1">
        <f t="array" ref="T179">Common_InputFunctions.Utility_DisplayArrayInTable(Fertiliser_SourceData.Fertiliser_Products_Data3(), FertiliserProducts[[#Headers],[Company]],61)</f>
        <v>0.23899999999999999</v>
      </c>
      <c r="U179" s="148" t="str" cm="1">
        <f t="array" ref="U179">Common_InputFunctions.Utility_DisplayArrayInTable(Fertiliser_SourceData.Fertiliser_Products_Data3(), FertiliserProducts[[#Headers],[Company]],61)</f>
        <v>Sulfur - Generic</v>
      </c>
      <c r="V179" s="148" cm="1">
        <f t="array" ref="V179">Common_InputFunctions.Utility_DisplayArrayInTable(Fertiliser_SourceData.Fertiliser_Products_Data3(), FertiliserProducts[[#Headers],[Company]],61)</f>
        <v>4.5999999999999999E-2</v>
      </c>
      <c r="W179" s="148" t="str" cm="1">
        <f t="array" ref="W179">Common_InputFunctions.Utility_DisplayArrayInTable(Fertiliser_SourceData.Fertiliser_Products_Data3(), FertiliserProducts[[#Headers],[Company]],61)</f>
        <v/>
      </c>
      <c r="X179" s="148" t="str" cm="1">
        <f t="array" ref="X179">Common_InputFunctions.Utility_DisplayArrayInTable(Fertiliser_SourceData.Fertiliser_Products_Data3(), FertiliserProducts[[#Headers],[Company]],61)</f>
        <v/>
      </c>
      <c r="Y179" s="148" t="str" cm="1">
        <f t="array" ref="Y179">Common_InputFunctions.Utility_DisplayArrayInTable(Fertiliser_SourceData.Fertiliser_Products_Data3(), FertiliserProducts[[#Headers],[Company]],61)</f>
        <v/>
      </c>
      <c r="Z179" s="148" t="str" cm="1">
        <f t="array" ref="Z179">Common_InputFunctions.Utility_DisplayArrayInTable(Fertiliser_SourceData.Fertiliser_Products_Data3(), FertiliserProducts[[#Headers],[Company]],61)</f>
        <v/>
      </c>
      <c r="AA179" s="148" t="str" cm="1">
        <f t="array" ref="AA179">Common_InputFunctions.Utility_DisplayArrayInTable(Fertiliser_SourceData.Fertiliser_Products_Data3(), FertiliserProducts[[#Headers],[Company]],61)</f>
        <v/>
      </c>
      <c r="AB179" s="148" t="str" cm="1">
        <f t="array" ref="AB179">Common_InputFunctions.Utility_DisplayArrayInTable(Fertiliser_SourceData.Fertiliser_Products_Data3(), FertiliserProducts[[#Headers],[Company]],61)</f>
        <v/>
      </c>
      <c r="AC179" s="148" t="str" cm="1">
        <f t="array" ref="AC179">Common_InputFunctions.Utility_DisplayArrayInTable(Fertiliser_SourceData.Fertiliser_Products_Data3(), FertiliserProducts[[#Headers],[Company]],61)</f>
        <v/>
      </c>
      <c r="AD179" s="148" t="str" cm="1">
        <f t="array" ref="AD179">Common_InputFunctions.Utility_DisplayArrayInTable(Fertiliser_SourceData.Fertiliser_Products_Data3(), FertiliserProducts[[#Headers],[Company]],61)</f>
        <v/>
      </c>
      <c r="AE179" s="148" t="str" cm="1">
        <f t="array" ref="AE179">Common_InputFunctions.Utility_DisplayArrayInTable(Fertiliser_SourceData.Fertiliser_Products_Data3(), FertiliserProducts[[#Headers],[Company]],61)</f>
        <v/>
      </c>
      <c r="AF179" s="148" t="str" cm="1">
        <f t="array" ref="AF179">Common_InputFunctions.Utility_DisplayArrayInTable(Fertiliser_SourceData.Fertiliser_Products_Data3(), FertiliserProducts[[#Headers],[Company]],61)</f>
        <v/>
      </c>
      <c r="AG179" s="148" t="str" cm="1">
        <f t="array" ref="AG179">Common_InputFunctions.Utility_DisplayArrayInTable(Fertiliser_SourceData.Fertiliser_Products_Data3(), FertiliserProducts[[#Headers],[Company]],61)</f>
        <v/>
      </c>
      <c r="AH179" s="148" t="str" cm="1">
        <f t="array" ref="AH179">Common_InputFunctions.Utility_DisplayArrayInTable(Fertiliser_SourceData.Fertiliser_Products_Data3(), FertiliserProducts[[#Headers],[Company]],61)</f>
        <v/>
      </c>
      <c r="AK179" s="1"/>
    </row>
    <row r="180" spans="1:37" ht="20.100000000000001" customHeight="1" x14ac:dyDescent="0.2">
      <c r="D180" s="148" t="str" cm="1">
        <f t="array" ref="D180">Common_InputFunctions.Utility_DisplayArrayInTable(Fertiliser_SourceData.Fertiliser_Products_Data4(),FertiliserProducts[[#Headers],[Company]], 91)</f>
        <v>Impact Fertilisers</v>
      </c>
      <c r="E180" s="148" t="str" cm="1">
        <f t="array" ref="E180">Common_InputFunctions.Utility_DisplayArrayInTable(Fertiliser_SourceData.Fertiliser_Products_Data4(),FertiliserProducts[[#Headers],[Company]], 91)</f>
        <v>Impact Super Potash 1&amp;1</v>
      </c>
      <c r="F180" s="148" t="str" cm="1">
        <f t="array" ref="F180">Common_InputFunctions.Utility_DisplayArrayInTable(Fertiliser_SourceData.Fertiliser_Products_Data4(),FertiliserProducts[[#Headers],[Company]], 91)</f>
        <v>kg</v>
      </c>
      <c r="G180" s="148" cm="1">
        <f t="array" ref="G180">Common_InputFunctions.Utility_DisplayArrayInTable(Fertiliser_SourceData.Fertiliser_Products_Data4(),FertiliserProducts[[#Headers],[Company]], 91)</f>
        <v>1</v>
      </c>
      <c r="H180" s="148" t="str" cm="1">
        <f t="array" ref="H180">Common_InputFunctions.Utility_DisplayArrayInTable(Fertiliser_SourceData.Fertiliser_Products_Data4(),FertiliserProducts[[#Headers],[Company]], 91)</f>
        <v/>
      </c>
      <c r="I180" s="148" t="str" cm="1">
        <f t="array" ref="I180">Common_InputFunctions.Utility_DisplayArrayInTable(Fertiliser_SourceData.Fertiliser_Products_Data4(),FertiliserProducts[[#Headers],[Company]], 91)</f>
        <v/>
      </c>
      <c r="J180" s="148" t="str" cm="1">
        <f t="array" ref="J180">Common_InputFunctions.Utility_DisplayArrayInTable(Fertiliser_SourceData.Fertiliser_Products_Data4(),FertiliserProducts[[#Headers],[Company]], 91)</f>
        <v/>
      </c>
      <c r="K180" s="148" t="str" cm="1">
        <f t="array" ref="K180">Common_InputFunctions.Utility_DisplayArrayInTable(Fertiliser_SourceData.Fertiliser_Products_Data4(),FertiliserProducts[[#Headers],[Company]], 91)</f>
        <v/>
      </c>
      <c r="L180" s="148" cm="1">
        <f t="array" ref="L180">Common_InputFunctions.Utility_DisplayArrayInTable(Fertiliser_SourceData.Fertiliser_Products_Data4(),FertiliserProducts[[#Headers],[Company]], 91)</f>
        <v>4.4000000000000004</v>
      </c>
      <c r="M180" s="148" cm="1">
        <f t="array" ref="M180">Common_InputFunctions.Utility_DisplayArrayInTable(Fertiliser_SourceData.Fertiliser_Products_Data4(),FertiliserProducts[[#Headers],[Company]], 91)</f>
        <v>25</v>
      </c>
      <c r="N180" s="148" cm="1">
        <f t="array" ref="N180">Common_InputFunctions.Utility_DisplayArrayInTable(Fertiliser_SourceData.Fertiliser_Products_Data4(),FertiliserProducts[[#Headers],[Company]], 91)</f>
        <v>5.5</v>
      </c>
      <c r="O180" s="148" t="str" cm="1">
        <f t="array" ref="O180">Common_InputFunctions.Utility_DisplayArrayInTable(Fertiliser_SourceData.Fertiliser_Products_Data4(),FertiliserProducts[[#Headers],[Company]], 91)</f>
        <v>Single superphosphate (SSP)</v>
      </c>
      <c r="P180" s="148" cm="1">
        <f t="array" ref="P180">Common_InputFunctions.Utility_DisplayArrayInTable(Fertiliser_SourceData.Fertiliser_Products_Data4(),FertiliserProducts[[#Headers],[Company]], 91)</f>
        <v>0.5</v>
      </c>
      <c r="Q180" s="148" t="str" cm="1">
        <f t="array" ref="Q180">Common_InputFunctions.Utility_DisplayArrayInTable(Fertiliser_SourceData.Fertiliser_Products_Data4(),FertiliserProducts[[#Headers],[Company]], 91)</f>
        <v>Muriate of potash (MOP)</v>
      </c>
      <c r="R180" s="148" cm="1">
        <f t="array" ref="R180">Common_InputFunctions.Utility_DisplayArrayInTable(Fertiliser_SourceData.Fertiliser_Products_Data4(),FertiliserProducts[[#Headers],[Company]], 91)</f>
        <v>0.5</v>
      </c>
      <c r="S180" s="148" t="str" cm="1">
        <f t="array" ref="S180">Common_InputFunctions.Utility_DisplayArrayInTable(Fertiliser_SourceData.Fertiliser_Products_Data4(),FertiliserProducts[[#Headers],[Company]], 91)</f>
        <v/>
      </c>
      <c r="T180" s="148" t="str" cm="1">
        <f t="array" ref="T180">Common_InputFunctions.Utility_DisplayArrayInTable(Fertiliser_SourceData.Fertiliser_Products_Data4(),FertiliserProducts[[#Headers],[Company]], 91)</f>
        <v/>
      </c>
      <c r="U180" s="148" t="str" cm="1">
        <f t="array" ref="U180">Common_InputFunctions.Utility_DisplayArrayInTable(Fertiliser_SourceData.Fertiliser_Products_Data4(),FertiliserProducts[[#Headers],[Company]], 91)</f>
        <v/>
      </c>
      <c r="V180" s="148" t="str" cm="1">
        <f t="array" ref="V180">Common_InputFunctions.Utility_DisplayArrayInTable(Fertiliser_SourceData.Fertiliser_Products_Data4(),FertiliserProducts[[#Headers],[Company]], 91)</f>
        <v/>
      </c>
      <c r="W180" s="148" t="str" cm="1">
        <f t="array" ref="W180">Common_InputFunctions.Utility_DisplayArrayInTable(Fertiliser_SourceData.Fertiliser_Products_Data4(),FertiliserProducts[[#Headers],[Company]], 91)</f>
        <v/>
      </c>
      <c r="X180" s="148" t="str" cm="1">
        <f t="array" ref="X180">Common_InputFunctions.Utility_DisplayArrayInTable(Fertiliser_SourceData.Fertiliser_Products_Data4(),FertiliserProducts[[#Headers],[Company]], 91)</f>
        <v/>
      </c>
      <c r="Y180" s="148" t="str" cm="1">
        <f t="array" ref="Y180">Common_InputFunctions.Utility_DisplayArrayInTable(Fertiliser_SourceData.Fertiliser_Products_Data4(),FertiliserProducts[[#Headers],[Company]], 91)</f>
        <v/>
      </c>
      <c r="Z180" s="148" t="str" cm="1">
        <f t="array" ref="Z180">Common_InputFunctions.Utility_DisplayArrayInTable(Fertiliser_SourceData.Fertiliser_Products_Data4(),FertiliserProducts[[#Headers],[Company]], 91)</f>
        <v/>
      </c>
      <c r="AA180" s="148" t="str" cm="1">
        <f t="array" ref="AA180">Common_InputFunctions.Utility_DisplayArrayInTable(Fertiliser_SourceData.Fertiliser_Products_Data4(),FertiliserProducts[[#Headers],[Company]], 91)</f>
        <v/>
      </c>
      <c r="AB180" s="148" t="str" cm="1">
        <f t="array" ref="AB180">Common_InputFunctions.Utility_DisplayArrayInTable(Fertiliser_SourceData.Fertiliser_Products_Data4(),FertiliserProducts[[#Headers],[Company]], 91)</f>
        <v/>
      </c>
      <c r="AC180" s="148" t="str" cm="1">
        <f t="array" ref="AC180">Common_InputFunctions.Utility_DisplayArrayInTable(Fertiliser_SourceData.Fertiliser_Products_Data4(),FertiliserProducts[[#Headers],[Company]], 91)</f>
        <v/>
      </c>
      <c r="AD180" s="148" t="str" cm="1">
        <f t="array" ref="AD180">Common_InputFunctions.Utility_DisplayArrayInTable(Fertiliser_SourceData.Fertiliser_Products_Data4(),FertiliserProducts[[#Headers],[Company]], 91)</f>
        <v/>
      </c>
      <c r="AE180" s="148" t="str" cm="1">
        <f t="array" ref="AE180">Common_InputFunctions.Utility_DisplayArrayInTable(Fertiliser_SourceData.Fertiliser_Products_Data4(),FertiliserProducts[[#Headers],[Company]], 91)</f>
        <v/>
      </c>
      <c r="AF180" s="148" t="str" cm="1">
        <f t="array" ref="AF180">Common_InputFunctions.Utility_DisplayArrayInTable(Fertiliser_SourceData.Fertiliser_Products_Data4(),FertiliserProducts[[#Headers],[Company]], 91)</f>
        <v/>
      </c>
      <c r="AG180" s="148" t="str" cm="1">
        <f t="array" ref="AG180">Common_InputFunctions.Utility_DisplayArrayInTable(Fertiliser_SourceData.Fertiliser_Products_Data4(),FertiliserProducts[[#Headers],[Company]], 91)</f>
        <v/>
      </c>
      <c r="AH180" s="148" t="str" cm="1">
        <f t="array" ref="AH180">Common_InputFunctions.Utility_DisplayArrayInTable(Fertiliser_SourceData.Fertiliser_Products_Data4(),FertiliserProducts[[#Headers],[Company]], 91)</f>
        <v/>
      </c>
    </row>
    <row r="181" spans="1:37" ht="20.100000000000001" customHeight="1" x14ac:dyDescent="0.2">
      <c r="D181" s="148" t="str" cm="1">
        <f t="array" ref="D181">Common_InputFunctions.Utility_DisplayArrayInTable(Fertiliser_SourceData.Fertiliser_Products_Data4(),FertiliserProducts[[#Headers],[Company]], 91)</f>
        <v>Impact Fertilisers</v>
      </c>
      <c r="E181" s="148" t="str" cm="1">
        <f t="array" ref="E181">Common_InputFunctions.Utility_DisplayArrayInTable(Fertiliser_SourceData.Fertiliser_Products_Data4(),FertiliserProducts[[#Headers],[Company]], 91)</f>
        <v>Impact Super Potash 2&amp;1</v>
      </c>
      <c r="F181" s="148" t="str" cm="1">
        <f t="array" ref="F181">Common_InputFunctions.Utility_DisplayArrayInTable(Fertiliser_SourceData.Fertiliser_Products_Data4(),FertiliserProducts[[#Headers],[Company]], 91)</f>
        <v>kg</v>
      </c>
      <c r="G181" s="148" cm="1">
        <f t="array" ref="G181">Common_InputFunctions.Utility_DisplayArrayInTable(Fertiliser_SourceData.Fertiliser_Products_Data4(),FertiliserProducts[[#Headers],[Company]], 91)</f>
        <v>1</v>
      </c>
      <c r="H181" s="148" t="str" cm="1">
        <f t="array" ref="H181">Common_InputFunctions.Utility_DisplayArrayInTable(Fertiliser_SourceData.Fertiliser_Products_Data4(),FertiliserProducts[[#Headers],[Company]], 91)</f>
        <v/>
      </c>
      <c r="I181" s="148" t="str" cm="1">
        <f t="array" ref="I181">Common_InputFunctions.Utility_DisplayArrayInTable(Fertiliser_SourceData.Fertiliser_Products_Data4(),FertiliserProducts[[#Headers],[Company]], 91)</f>
        <v/>
      </c>
      <c r="J181" s="148" t="str" cm="1">
        <f t="array" ref="J181">Common_InputFunctions.Utility_DisplayArrayInTable(Fertiliser_SourceData.Fertiliser_Products_Data4(),FertiliserProducts[[#Headers],[Company]], 91)</f>
        <v/>
      </c>
      <c r="K181" s="148" t="str" cm="1">
        <f t="array" ref="K181">Common_InputFunctions.Utility_DisplayArrayInTable(Fertiliser_SourceData.Fertiliser_Products_Data4(),FertiliserProducts[[#Headers],[Company]], 91)</f>
        <v/>
      </c>
      <c r="L181" s="148" cm="1">
        <f t="array" ref="L181">Common_InputFunctions.Utility_DisplayArrayInTable(Fertiliser_SourceData.Fertiliser_Products_Data4(),FertiliserProducts[[#Headers],[Company]], 91)</f>
        <v>5.84</v>
      </c>
      <c r="M181" s="148" cm="1">
        <f t="array" ref="M181">Common_InputFunctions.Utility_DisplayArrayInTable(Fertiliser_SourceData.Fertiliser_Products_Data4(),FertiliserProducts[[#Headers],[Company]], 91)</f>
        <v>16.8</v>
      </c>
      <c r="N181" s="148" cm="1">
        <f t="array" ref="N181">Common_InputFunctions.Utility_DisplayArrayInTable(Fertiliser_SourceData.Fertiliser_Products_Data4(),FertiliserProducts[[#Headers],[Company]], 91)</f>
        <v>7.29</v>
      </c>
      <c r="O181" s="148" t="str" cm="1">
        <f t="array" ref="O181">Common_InputFunctions.Utility_DisplayArrayInTable(Fertiliser_SourceData.Fertiliser_Products_Data4(),FertiliserProducts[[#Headers],[Company]], 91)</f>
        <v>Single superphosphate (SSP)</v>
      </c>
      <c r="P181" s="148" cm="1">
        <f t="array" ref="P181">Common_InputFunctions.Utility_DisplayArrayInTable(Fertiliser_SourceData.Fertiliser_Products_Data4(),FertiliserProducts[[#Headers],[Company]], 91)</f>
        <v>0.66315800000000003</v>
      </c>
      <c r="Q181" s="148" t="str" cm="1">
        <f t="array" ref="Q181">Common_InputFunctions.Utility_DisplayArrayInTable(Fertiliser_SourceData.Fertiliser_Products_Data4(),FertiliserProducts[[#Headers],[Company]], 91)</f>
        <v>Muriate of potash (MOP)</v>
      </c>
      <c r="R181" s="148" cm="1">
        <f t="array" ref="R181">Common_InputFunctions.Utility_DisplayArrayInTable(Fertiliser_SourceData.Fertiliser_Products_Data4(),FertiliserProducts[[#Headers],[Company]], 91)</f>
        <v>0.33600000000000002</v>
      </c>
      <c r="S181" s="148" t="str" cm="1">
        <f t="array" ref="S181">Common_InputFunctions.Utility_DisplayArrayInTable(Fertiliser_SourceData.Fertiliser_Products_Data4(),FertiliserProducts[[#Headers],[Company]], 91)</f>
        <v/>
      </c>
      <c r="T181" s="148" t="str" cm="1">
        <f t="array" ref="T181">Common_InputFunctions.Utility_DisplayArrayInTable(Fertiliser_SourceData.Fertiliser_Products_Data4(),FertiliserProducts[[#Headers],[Company]], 91)</f>
        <v/>
      </c>
      <c r="U181" s="148" t="str" cm="1">
        <f t="array" ref="U181">Common_InputFunctions.Utility_DisplayArrayInTable(Fertiliser_SourceData.Fertiliser_Products_Data4(),FertiliserProducts[[#Headers],[Company]], 91)</f>
        <v/>
      </c>
      <c r="V181" s="148" t="str" cm="1">
        <f t="array" ref="V181">Common_InputFunctions.Utility_DisplayArrayInTable(Fertiliser_SourceData.Fertiliser_Products_Data4(),FertiliserProducts[[#Headers],[Company]], 91)</f>
        <v/>
      </c>
      <c r="W181" s="148" t="str" cm="1">
        <f t="array" ref="W181">Common_InputFunctions.Utility_DisplayArrayInTable(Fertiliser_SourceData.Fertiliser_Products_Data4(),FertiliserProducts[[#Headers],[Company]], 91)</f>
        <v/>
      </c>
      <c r="X181" s="148" t="str" cm="1">
        <f t="array" ref="X181">Common_InputFunctions.Utility_DisplayArrayInTable(Fertiliser_SourceData.Fertiliser_Products_Data4(),FertiliserProducts[[#Headers],[Company]], 91)</f>
        <v/>
      </c>
      <c r="Y181" s="148" t="str" cm="1">
        <f t="array" ref="Y181">Common_InputFunctions.Utility_DisplayArrayInTable(Fertiliser_SourceData.Fertiliser_Products_Data4(),FertiliserProducts[[#Headers],[Company]], 91)</f>
        <v/>
      </c>
      <c r="Z181" s="148" t="str" cm="1">
        <f t="array" ref="Z181">Common_InputFunctions.Utility_DisplayArrayInTable(Fertiliser_SourceData.Fertiliser_Products_Data4(),FertiliserProducts[[#Headers],[Company]], 91)</f>
        <v/>
      </c>
      <c r="AA181" s="148" t="str" cm="1">
        <f t="array" ref="AA181">Common_InputFunctions.Utility_DisplayArrayInTable(Fertiliser_SourceData.Fertiliser_Products_Data4(),FertiliserProducts[[#Headers],[Company]], 91)</f>
        <v/>
      </c>
      <c r="AB181" s="148" t="str" cm="1">
        <f t="array" ref="AB181">Common_InputFunctions.Utility_DisplayArrayInTable(Fertiliser_SourceData.Fertiliser_Products_Data4(),FertiliserProducts[[#Headers],[Company]], 91)</f>
        <v/>
      </c>
      <c r="AC181" s="148" t="str" cm="1">
        <f t="array" ref="AC181">Common_InputFunctions.Utility_DisplayArrayInTable(Fertiliser_SourceData.Fertiliser_Products_Data4(),FertiliserProducts[[#Headers],[Company]], 91)</f>
        <v/>
      </c>
      <c r="AD181" s="148" t="str" cm="1">
        <f t="array" ref="AD181">Common_InputFunctions.Utility_DisplayArrayInTable(Fertiliser_SourceData.Fertiliser_Products_Data4(),FertiliserProducts[[#Headers],[Company]], 91)</f>
        <v/>
      </c>
      <c r="AE181" s="148" t="str" cm="1">
        <f t="array" ref="AE181">Common_InputFunctions.Utility_DisplayArrayInTable(Fertiliser_SourceData.Fertiliser_Products_Data4(),FertiliserProducts[[#Headers],[Company]], 91)</f>
        <v/>
      </c>
      <c r="AF181" s="148" t="str" cm="1">
        <f t="array" ref="AF181">Common_InputFunctions.Utility_DisplayArrayInTable(Fertiliser_SourceData.Fertiliser_Products_Data4(),FertiliserProducts[[#Headers],[Company]], 91)</f>
        <v/>
      </c>
      <c r="AG181" s="148" t="str" cm="1">
        <f t="array" ref="AG181">Common_InputFunctions.Utility_DisplayArrayInTable(Fertiliser_SourceData.Fertiliser_Products_Data4(),FertiliserProducts[[#Headers],[Company]], 91)</f>
        <v/>
      </c>
      <c r="AH181" s="148" t="str" cm="1">
        <f t="array" ref="AH181">Common_InputFunctions.Utility_DisplayArrayInTable(Fertiliser_SourceData.Fertiliser_Products_Data4(),FertiliserProducts[[#Headers],[Company]], 91)</f>
        <v/>
      </c>
    </row>
    <row r="182" spans="1:37" ht="20.100000000000001" customHeight="1" x14ac:dyDescent="0.2">
      <c r="D182" s="148" t="str" cm="1">
        <f t="array" ref="D182">Common_InputFunctions.Utility_DisplayArrayInTable(Fertiliser_SourceData.Fertiliser_Products_Data4(),FertiliserProducts[[#Headers],[Company]], 91)</f>
        <v>Impact Fertilisers</v>
      </c>
      <c r="E182" s="148" t="str" cm="1">
        <f t="array" ref="E182">Common_InputFunctions.Utility_DisplayArrayInTable(Fertiliser_SourceData.Fertiliser_Products_Data4(),FertiliserProducts[[#Headers],[Company]], 91)</f>
        <v>Impact Super Potash 3&amp;1</v>
      </c>
      <c r="F182" s="148" t="str" cm="1">
        <f t="array" ref="F182">Common_InputFunctions.Utility_DisplayArrayInTable(Fertiliser_SourceData.Fertiliser_Products_Data4(),FertiliserProducts[[#Headers],[Company]], 91)</f>
        <v>kg</v>
      </c>
      <c r="G182" s="148" cm="1">
        <f t="array" ref="G182">Common_InputFunctions.Utility_DisplayArrayInTable(Fertiliser_SourceData.Fertiliser_Products_Data4(),FertiliserProducts[[#Headers],[Company]], 91)</f>
        <v>1</v>
      </c>
      <c r="H182" s="148" t="str" cm="1">
        <f t="array" ref="H182">Common_InputFunctions.Utility_DisplayArrayInTable(Fertiliser_SourceData.Fertiliser_Products_Data4(),FertiliserProducts[[#Headers],[Company]], 91)</f>
        <v/>
      </c>
      <c r="I182" s="148" t="str" cm="1">
        <f t="array" ref="I182">Common_InputFunctions.Utility_DisplayArrayInTable(Fertiliser_SourceData.Fertiliser_Products_Data4(),FertiliserProducts[[#Headers],[Company]], 91)</f>
        <v/>
      </c>
      <c r="J182" s="148" t="str" cm="1">
        <f t="array" ref="J182">Common_InputFunctions.Utility_DisplayArrayInTable(Fertiliser_SourceData.Fertiliser_Products_Data4(),FertiliserProducts[[#Headers],[Company]], 91)</f>
        <v/>
      </c>
      <c r="K182" s="148" t="str" cm="1">
        <f t="array" ref="K182">Common_InputFunctions.Utility_DisplayArrayInTable(Fertiliser_SourceData.Fertiliser_Products_Data4(),FertiliserProducts[[#Headers],[Company]], 91)</f>
        <v/>
      </c>
      <c r="L182" s="148" cm="1">
        <f t="array" ref="L182">Common_InputFunctions.Utility_DisplayArrayInTable(Fertiliser_SourceData.Fertiliser_Products_Data4(),FertiliserProducts[[#Headers],[Company]], 91)</f>
        <v>6.58</v>
      </c>
      <c r="M182" s="148" cm="1">
        <f t="array" ref="M182">Common_InputFunctions.Utility_DisplayArrayInTable(Fertiliser_SourceData.Fertiliser_Products_Data4(),FertiliserProducts[[#Headers],[Company]], 91)</f>
        <v>12.5</v>
      </c>
      <c r="N182" s="148" cm="1">
        <f t="array" ref="N182">Common_InputFunctions.Utility_DisplayArrayInTable(Fertiliser_SourceData.Fertiliser_Products_Data4(),FertiliserProducts[[#Headers],[Company]], 91)</f>
        <v>8.2200000000000006</v>
      </c>
      <c r="O182" s="148" t="str" cm="1">
        <f t="array" ref="O182">Common_InputFunctions.Utility_DisplayArrayInTable(Fertiliser_SourceData.Fertiliser_Products_Data4(),FertiliserProducts[[#Headers],[Company]], 91)</f>
        <v>Single superphosphate (SSP)</v>
      </c>
      <c r="P182" s="148" cm="1">
        <f t="array" ref="P182">Common_InputFunctions.Utility_DisplayArrayInTable(Fertiliser_SourceData.Fertiliser_Products_Data4(),FertiliserProducts[[#Headers],[Company]], 91)</f>
        <v>0.74736800000000003</v>
      </c>
      <c r="Q182" s="148" t="str" cm="1">
        <f t="array" ref="Q182">Common_InputFunctions.Utility_DisplayArrayInTable(Fertiliser_SourceData.Fertiliser_Products_Data4(),FertiliserProducts[[#Headers],[Company]], 91)</f>
        <v>Muriate of potash (MOP)</v>
      </c>
      <c r="R182" s="148" cm="1">
        <f t="array" ref="R182">Common_InputFunctions.Utility_DisplayArrayInTable(Fertiliser_SourceData.Fertiliser_Products_Data4(),FertiliserProducts[[#Headers],[Company]], 91)</f>
        <v>0.25</v>
      </c>
      <c r="S182" s="148" t="str" cm="1">
        <f t="array" ref="S182">Common_InputFunctions.Utility_DisplayArrayInTable(Fertiliser_SourceData.Fertiliser_Products_Data4(),FertiliserProducts[[#Headers],[Company]], 91)</f>
        <v/>
      </c>
      <c r="T182" s="148" t="str" cm="1">
        <f t="array" ref="T182">Common_InputFunctions.Utility_DisplayArrayInTable(Fertiliser_SourceData.Fertiliser_Products_Data4(),FertiliserProducts[[#Headers],[Company]], 91)</f>
        <v/>
      </c>
      <c r="U182" s="148" t="str" cm="1">
        <f t="array" ref="U182">Common_InputFunctions.Utility_DisplayArrayInTable(Fertiliser_SourceData.Fertiliser_Products_Data4(),FertiliserProducts[[#Headers],[Company]], 91)</f>
        <v/>
      </c>
      <c r="V182" s="148" t="str" cm="1">
        <f t="array" ref="V182">Common_InputFunctions.Utility_DisplayArrayInTable(Fertiliser_SourceData.Fertiliser_Products_Data4(),FertiliserProducts[[#Headers],[Company]], 91)</f>
        <v/>
      </c>
      <c r="W182" s="148" t="str" cm="1">
        <f t="array" ref="W182">Common_InputFunctions.Utility_DisplayArrayInTable(Fertiliser_SourceData.Fertiliser_Products_Data4(),FertiliserProducts[[#Headers],[Company]], 91)</f>
        <v/>
      </c>
      <c r="X182" s="148" t="str" cm="1">
        <f t="array" ref="X182">Common_InputFunctions.Utility_DisplayArrayInTable(Fertiliser_SourceData.Fertiliser_Products_Data4(),FertiliserProducts[[#Headers],[Company]], 91)</f>
        <v/>
      </c>
      <c r="Y182" s="148" t="str" cm="1">
        <f t="array" ref="Y182">Common_InputFunctions.Utility_DisplayArrayInTable(Fertiliser_SourceData.Fertiliser_Products_Data4(),FertiliserProducts[[#Headers],[Company]], 91)</f>
        <v/>
      </c>
      <c r="Z182" s="148" t="str" cm="1">
        <f t="array" ref="Z182">Common_InputFunctions.Utility_DisplayArrayInTable(Fertiliser_SourceData.Fertiliser_Products_Data4(),FertiliserProducts[[#Headers],[Company]], 91)</f>
        <v/>
      </c>
      <c r="AA182" s="148" t="str" cm="1">
        <f t="array" ref="AA182">Common_InputFunctions.Utility_DisplayArrayInTable(Fertiliser_SourceData.Fertiliser_Products_Data4(),FertiliserProducts[[#Headers],[Company]], 91)</f>
        <v/>
      </c>
      <c r="AB182" s="148" t="str" cm="1">
        <f t="array" ref="AB182">Common_InputFunctions.Utility_DisplayArrayInTable(Fertiliser_SourceData.Fertiliser_Products_Data4(),FertiliserProducts[[#Headers],[Company]], 91)</f>
        <v/>
      </c>
      <c r="AC182" s="148" t="str" cm="1">
        <f t="array" ref="AC182">Common_InputFunctions.Utility_DisplayArrayInTable(Fertiliser_SourceData.Fertiliser_Products_Data4(),FertiliserProducts[[#Headers],[Company]], 91)</f>
        <v/>
      </c>
      <c r="AD182" s="148" t="str" cm="1">
        <f t="array" ref="AD182">Common_InputFunctions.Utility_DisplayArrayInTable(Fertiliser_SourceData.Fertiliser_Products_Data4(),FertiliserProducts[[#Headers],[Company]], 91)</f>
        <v/>
      </c>
      <c r="AE182" s="148" t="str" cm="1">
        <f t="array" ref="AE182">Common_InputFunctions.Utility_DisplayArrayInTable(Fertiliser_SourceData.Fertiliser_Products_Data4(),FertiliserProducts[[#Headers],[Company]], 91)</f>
        <v/>
      </c>
      <c r="AF182" s="148" t="str" cm="1">
        <f t="array" ref="AF182">Common_InputFunctions.Utility_DisplayArrayInTable(Fertiliser_SourceData.Fertiliser_Products_Data4(),FertiliserProducts[[#Headers],[Company]], 91)</f>
        <v/>
      </c>
      <c r="AG182" s="148" t="str" cm="1">
        <f t="array" ref="AG182">Common_InputFunctions.Utility_DisplayArrayInTable(Fertiliser_SourceData.Fertiliser_Products_Data4(),FertiliserProducts[[#Headers],[Company]], 91)</f>
        <v/>
      </c>
      <c r="AH182" s="148" t="str" cm="1">
        <f t="array" ref="AH182">Common_InputFunctions.Utility_DisplayArrayInTable(Fertiliser_SourceData.Fertiliser_Products_Data4(),FertiliserProducts[[#Headers],[Company]], 91)</f>
        <v/>
      </c>
    </row>
    <row r="183" spans="1:37" ht="20.100000000000001" customHeight="1" x14ac:dyDescent="0.2">
      <c r="D183" s="148" t="str" cm="1">
        <f t="array" ref="D183">Common_InputFunctions.Utility_DisplayArrayInTable(Fertiliser_SourceData.Fertiliser_Products_Data4(),FertiliserProducts[[#Headers],[Company]], 91)</f>
        <v>Impact Fertilisers</v>
      </c>
      <c r="E183" s="148" t="str" cm="1">
        <f t="array" ref="E183">Common_InputFunctions.Utility_DisplayArrayInTable(Fertiliser_SourceData.Fertiliser_Products_Data4(),FertiliserProducts[[#Headers],[Company]], 91)</f>
        <v>Impact Super Potash 4&amp;1</v>
      </c>
      <c r="F183" s="148" t="str" cm="1">
        <f t="array" ref="F183">Common_InputFunctions.Utility_DisplayArrayInTable(Fertiliser_SourceData.Fertiliser_Products_Data4(),FertiliserProducts[[#Headers],[Company]], 91)</f>
        <v>kg</v>
      </c>
      <c r="G183" s="148" cm="1">
        <f t="array" ref="G183">Common_InputFunctions.Utility_DisplayArrayInTable(Fertiliser_SourceData.Fertiliser_Products_Data4(),FertiliserProducts[[#Headers],[Company]], 91)</f>
        <v>1</v>
      </c>
      <c r="H183" s="148" t="str" cm="1">
        <f t="array" ref="H183">Common_InputFunctions.Utility_DisplayArrayInTable(Fertiliser_SourceData.Fertiliser_Products_Data4(),FertiliserProducts[[#Headers],[Company]], 91)</f>
        <v/>
      </c>
      <c r="I183" s="148" t="str" cm="1">
        <f t="array" ref="I183">Common_InputFunctions.Utility_DisplayArrayInTable(Fertiliser_SourceData.Fertiliser_Products_Data4(),FertiliserProducts[[#Headers],[Company]], 91)</f>
        <v/>
      </c>
      <c r="J183" s="148" t="str" cm="1">
        <f t="array" ref="J183">Common_InputFunctions.Utility_DisplayArrayInTable(Fertiliser_SourceData.Fertiliser_Products_Data4(),FertiliserProducts[[#Headers],[Company]], 91)</f>
        <v/>
      </c>
      <c r="K183" s="148" t="str" cm="1">
        <f t="array" ref="K183">Common_InputFunctions.Utility_DisplayArrayInTable(Fertiliser_SourceData.Fertiliser_Products_Data4(),FertiliserProducts[[#Headers],[Company]], 91)</f>
        <v/>
      </c>
      <c r="L183" s="148" cm="1">
        <f t="array" ref="L183">Common_InputFunctions.Utility_DisplayArrayInTable(Fertiliser_SourceData.Fertiliser_Products_Data4(),FertiliserProducts[[#Headers],[Company]], 91)</f>
        <v>7.04</v>
      </c>
      <c r="M183" s="148" cm="1">
        <f t="array" ref="M183">Common_InputFunctions.Utility_DisplayArrayInTable(Fertiliser_SourceData.Fertiliser_Products_Data4(),FertiliserProducts[[#Headers],[Company]], 91)</f>
        <v>10</v>
      </c>
      <c r="N183" s="148" cm="1">
        <f t="array" ref="N183">Common_InputFunctions.Utility_DisplayArrayInTable(Fertiliser_SourceData.Fertiliser_Products_Data4(),FertiliserProducts[[#Headers],[Company]], 91)</f>
        <v>8.8000000000000007</v>
      </c>
      <c r="O183" s="148" t="str" cm="1">
        <f t="array" ref="O183">Common_InputFunctions.Utility_DisplayArrayInTable(Fertiliser_SourceData.Fertiliser_Products_Data4(),FertiliserProducts[[#Headers],[Company]], 91)</f>
        <v>Single superphosphate (SSP)</v>
      </c>
      <c r="P183" s="148" cm="1">
        <f t="array" ref="P183">Common_InputFunctions.Utility_DisplayArrayInTable(Fertiliser_SourceData.Fertiliser_Products_Data4(),FertiliserProducts[[#Headers],[Company]], 91)</f>
        <v>0.8</v>
      </c>
      <c r="Q183" s="148" t="str" cm="1">
        <f t="array" ref="Q183">Common_InputFunctions.Utility_DisplayArrayInTable(Fertiliser_SourceData.Fertiliser_Products_Data4(),FertiliserProducts[[#Headers],[Company]], 91)</f>
        <v>Muriate of potash (MOP)</v>
      </c>
      <c r="R183" s="148" cm="1">
        <f t="array" ref="R183">Common_InputFunctions.Utility_DisplayArrayInTable(Fertiliser_SourceData.Fertiliser_Products_Data4(),FertiliserProducts[[#Headers],[Company]], 91)</f>
        <v>0.2</v>
      </c>
      <c r="S183" s="148" t="str" cm="1">
        <f t="array" ref="S183">Common_InputFunctions.Utility_DisplayArrayInTable(Fertiliser_SourceData.Fertiliser_Products_Data4(),FertiliserProducts[[#Headers],[Company]], 91)</f>
        <v/>
      </c>
      <c r="T183" s="148" t="str" cm="1">
        <f t="array" ref="T183">Common_InputFunctions.Utility_DisplayArrayInTable(Fertiliser_SourceData.Fertiliser_Products_Data4(),FertiliserProducts[[#Headers],[Company]], 91)</f>
        <v/>
      </c>
      <c r="U183" s="148" t="str" cm="1">
        <f t="array" ref="U183">Common_InputFunctions.Utility_DisplayArrayInTable(Fertiliser_SourceData.Fertiliser_Products_Data4(),FertiliserProducts[[#Headers],[Company]], 91)</f>
        <v/>
      </c>
      <c r="V183" s="148" t="str" cm="1">
        <f t="array" ref="V183">Common_InputFunctions.Utility_DisplayArrayInTable(Fertiliser_SourceData.Fertiliser_Products_Data4(),FertiliserProducts[[#Headers],[Company]], 91)</f>
        <v/>
      </c>
      <c r="W183" s="148" t="str" cm="1">
        <f t="array" ref="W183">Common_InputFunctions.Utility_DisplayArrayInTable(Fertiliser_SourceData.Fertiliser_Products_Data4(),FertiliserProducts[[#Headers],[Company]], 91)</f>
        <v/>
      </c>
      <c r="X183" s="148" t="str" cm="1">
        <f t="array" ref="X183">Common_InputFunctions.Utility_DisplayArrayInTable(Fertiliser_SourceData.Fertiliser_Products_Data4(),FertiliserProducts[[#Headers],[Company]], 91)</f>
        <v/>
      </c>
      <c r="Y183" s="148" t="str" cm="1">
        <f t="array" ref="Y183">Common_InputFunctions.Utility_DisplayArrayInTable(Fertiliser_SourceData.Fertiliser_Products_Data4(),FertiliserProducts[[#Headers],[Company]], 91)</f>
        <v/>
      </c>
      <c r="Z183" s="148" t="str" cm="1">
        <f t="array" ref="Z183">Common_InputFunctions.Utility_DisplayArrayInTable(Fertiliser_SourceData.Fertiliser_Products_Data4(),FertiliserProducts[[#Headers],[Company]], 91)</f>
        <v/>
      </c>
      <c r="AA183" s="148" t="str" cm="1">
        <f t="array" ref="AA183">Common_InputFunctions.Utility_DisplayArrayInTable(Fertiliser_SourceData.Fertiliser_Products_Data4(),FertiliserProducts[[#Headers],[Company]], 91)</f>
        <v/>
      </c>
      <c r="AB183" s="148" t="str" cm="1">
        <f t="array" ref="AB183">Common_InputFunctions.Utility_DisplayArrayInTable(Fertiliser_SourceData.Fertiliser_Products_Data4(),FertiliserProducts[[#Headers],[Company]], 91)</f>
        <v/>
      </c>
      <c r="AC183" s="148" t="str" cm="1">
        <f t="array" ref="AC183">Common_InputFunctions.Utility_DisplayArrayInTable(Fertiliser_SourceData.Fertiliser_Products_Data4(),FertiliserProducts[[#Headers],[Company]], 91)</f>
        <v/>
      </c>
      <c r="AD183" s="148" t="str" cm="1">
        <f t="array" ref="AD183">Common_InputFunctions.Utility_DisplayArrayInTable(Fertiliser_SourceData.Fertiliser_Products_Data4(),FertiliserProducts[[#Headers],[Company]], 91)</f>
        <v/>
      </c>
      <c r="AE183" s="148" t="str" cm="1">
        <f t="array" ref="AE183">Common_InputFunctions.Utility_DisplayArrayInTable(Fertiliser_SourceData.Fertiliser_Products_Data4(),FertiliserProducts[[#Headers],[Company]], 91)</f>
        <v/>
      </c>
      <c r="AF183" s="148" t="str" cm="1">
        <f t="array" ref="AF183">Common_InputFunctions.Utility_DisplayArrayInTable(Fertiliser_SourceData.Fertiliser_Products_Data4(),FertiliserProducts[[#Headers],[Company]], 91)</f>
        <v/>
      </c>
      <c r="AG183" s="148" t="str" cm="1">
        <f t="array" ref="AG183">Common_InputFunctions.Utility_DisplayArrayInTable(Fertiliser_SourceData.Fertiliser_Products_Data4(),FertiliserProducts[[#Headers],[Company]], 91)</f>
        <v/>
      </c>
      <c r="AH183" s="148" t="str" cm="1">
        <f t="array" ref="AH183">Common_InputFunctions.Utility_DisplayArrayInTable(Fertiliser_SourceData.Fertiliser_Products_Data4(),FertiliserProducts[[#Headers],[Company]], 91)</f>
        <v/>
      </c>
    </row>
    <row r="184" spans="1:37" ht="20.100000000000001" customHeight="1" x14ac:dyDescent="0.2">
      <c r="D184" s="148" t="str" cm="1">
        <f t="array" ref="D184">Common_InputFunctions.Utility_DisplayArrayInTable(Fertiliser_SourceData.Fertiliser_Products_Data4(),FertiliserProducts[[#Headers],[Company]], 91)</f>
        <v>Impact Fertilisers</v>
      </c>
      <c r="E184" s="148" t="str" cm="1">
        <f t="array" ref="E184">Common_InputFunctions.Utility_DisplayArrayInTable(Fertiliser_SourceData.Fertiliser_Products_Data4(),FertiliserProducts[[#Headers],[Company]], 91)</f>
        <v>Impact Super Potash 5&amp;1</v>
      </c>
      <c r="F184" s="148" t="str" cm="1">
        <f t="array" ref="F184">Common_InputFunctions.Utility_DisplayArrayInTable(Fertiliser_SourceData.Fertiliser_Products_Data4(),FertiliserProducts[[#Headers],[Company]], 91)</f>
        <v>kg</v>
      </c>
      <c r="G184" s="148" cm="1">
        <f t="array" ref="G184">Common_InputFunctions.Utility_DisplayArrayInTable(Fertiliser_SourceData.Fertiliser_Products_Data4(),FertiliserProducts[[#Headers],[Company]], 91)</f>
        <v>1</v>
      </c>
      <c r="H184" s="148" t="str" cm="1">
        <f t="array" ref="H184">Common_InputFunctions.Utility_DisplayArrayInTable(Fertiliser_SourceData.Fertiliser_Products_Data4(),FertiliserProducts[[#Headers],[Company]], 91)</f>
        <v/>
      </c>
      <c r="I184" s="148" t="str" cm="1">
        <f t="array" ref="I184">Common_InputFunctions.Utility_DisplayArrayInTable(Fertiliser_SourceData.Fertiliser_Products_Data4(),FertiliserProducts[[#Headers],[Company]], 91)</f>
        <v/>
      </c>
      <c r="J184" s="148" t="str" cm="1">
        <f t="array" ref="J184">Common_InputFunctions.Utility_DisplayArrayInTable(Fertiliser_SourceData.Fertiliser_Products_Data4(),FertiliserProducts[[#Headers],[Company]], 91)</f>
        <v/>
      </c>
      <c r="K184" s="148" t="str" cm="1">
        <f t="array" ref="K184">Common_InputFunctions.Utility_DisplayArrayInTable(Fertiliser_SourceData.Fertiliser_Products_Data4(),FertiliserProducts[[#Headers],[Company]], 91)</f>
        <v/>
      </c>
      <c r="L184" s="148" cm="1">
        <f t="array" ref="L184">Common_InputFunctions.Utility_DisplayArrayInTable(Fertiliser_SourceData.Fertiliser_Products_Data4(),FertiliserProducts[[#Headers],[Company]], 91)</f>
        <v>7.32</v>
      </c>
      <c r="M184" s="148" cm="1">
        <f t="array" ref="M184">Common_InputFunctions.Utility_DisplayArrayInTable(Fertiliser_SourceData.Fertiliser_Products_Data4(),FertiliserProducts[[#Headers],[Company]], 91)</f>
        <v>8.4</v>
      </c>
      <c r="N184" s="148" cm="1">
        <f t="array" ref="N184">Common_InputFunctions.Utility_DisplayArrayInTable(Fertiliser_SourceData.Fertiliser_Products_Data4(),FertiliserProducts[[#Headers],[Company]], 91)</f>
        <v>9.15</v>
      </c>
      <c r="O184" s="148" t="str" cm="1">
        <f t="array" ref="O184">Common_InputFunctions.Utility_DisplayArrayInTable(Fertiliser_SourceData.Fertiliser_Products_Data4(),FertiliserProducts[[#Headers],[Company]], 91)</f>
        <v>Single superphosphate (SSP)</v>
      </c>
      <c r="P184" s="148" cm="1">
        <f t="array" ref="P184">Common_InputFunctions.Utility_DisplayArrayInTable(Fertiliser_SourceData.Fertiliser_Products_Data4(),FertiliserProducts[[#Headers],[Company]], 91)</f>
        <v>0.83157899999999996</v>
      </c>
      <c r="Q184" s="148" t="str" cm="1">
        <f t="array" ref="Q184">Common_InputFunctions.Utility_DisplayArrayInTable(Fertiliser_SourceData.Fertiliser_Products_Data4(),FertiliserProducts[[#Headers],[Company]], 91)</f>
        <v>Muriate of potash (MOP)</v>
      </c>
      <c r="R184" s="148" cm="1">
        <f t="array" ref="R184">Common_InputFunctions.Utility_DisplayArrayInTable(Fertiliser_SourceData.Fertiliser_Products_Data4(),FertiliserProducts[[#Headers],[Company]], 91)</f>
        <v>0.16800000000000001</v>
      </c>
      <c r="S184" s="148" t="str" cm="1">
        <f t="array" ref="S184">Common_InputFunctions.Utility_DisplayArrayInTable(Fertiliser_SourceData.Fertiliser_Products_Data4(),FertiliserProducts[[#Headers],[Company]], 91)</f>
        <v/>
      </c>
      <c r="T184" s="148" t="str" cm="1">
        <f t="array" ref="T184">Common_InputFunctions.Utility_DisplayArrayInTable(Fertiliser_SourceData.Fertiliser_Products_Data4(),FertiliserProducts[[#Headers],[Company]], 91)</f>
        <v/>
      </c>
      <c r="U184" s="148" t="str" cm="1">
        <f t="array" ref="U184">Common_InputFunctions.Utility_DisplayArrayInTable(Fertiliser_SourceData.Fertiliser_Products_Data4(),FertiliserProducts[[#Headers],[Company]], 91)</f>
        <v/>
      </c>
      <c r="V184" s="148" t="str" cm="1">
        <f t="array" ref="V184">Common_InputFunctions.Utility_DisplayArrayInTable(Fertiliser_SourceData.Fertiliser_Products_Data4(),FertiliserProducts[[#Headers],[Company]], 91)</f>
        <v/>
      </c>
      <c r="W184" s="148" t="str" cm="1">
        <f t="array" ref="W184">Common_InputFunctions.Utility_DisplayArrayInTable(Fertiliser_SourceData.Fertiliser_Products_Data4(),FertiliserProducts[[#Headers],[Company]], 91)</f>
        <v/>
      </c>
      <c r="X184" s="148" t="str" cm="1">
        <f t="array" ref="X184">Common_InputFunctions.Utility_DisplayArrayInTable(Fertiliser_SourceData.Fertiliser_Products_Data4(),FertiliserProducts[[#Headers],[Company]], 91)</f>
        <v/>
      </c>
      <c r="Y184" s="148" t="str" cm="1">
        <f t="array" ref="Y184">Common_InputFunctions.Utility_DisplayArrayInTable(Fertiliser_SourceData.Fertiliser_Products_Data4(),FertiliserProducts[[#Headers],[Company]], 91)</f>
        <v/>
      </c>
      <c r="Z184" s="148" t="str" cm="1">
        <f t="array" ref="Z184">Common_InputFunctions.Utility_DisplayArrayInTable(Fertiliser_SourceData.Fertiliser_Products_Data4(),FertiliserProducts[[#Headers],[Company]], 91)</f>
        <v/>
      </c>
      <c r="AA184" s="148" t="str" cm="1">
        <f t="array" ref="AA184">Common_InputFunctions.Utility_DisplayArrayInTable(Fertiliser_SourceData.Fertiliser_Products_Data4(),FertiliserProducts[[#Headers],[Company]], 91)</f>
        <v/>
      </c>
      <c r="AB184" s="148" t="str" cm="1">
        <f t="array" ref="AB184">Common_InputFunctions.Utility_DisplayArrayInTable(Fertiliser_SourceData.Fertiliser_Products_Data4(),FertiliserProducts[[#Headers],[Company]], 91)</f>
        <v/>
      </c>
      <c r="AC184" s="148" t="str" cm="1">
        <f t="array" ref="AC184">Common_InputFunctions.Utility_DisplayArrayInTable(Fertiliser_SourceData.Fertiliser_Products_Data4(),FertiliserProducts[[#Headers],[Company]], 91)</f>
        <v/>
      </c>
      <c r="AD184" s="148" t="str" cm="1">
        <f t="array" ref="AD184">Common_InputFunctions.Utility_DisplayArrayInTable(Fertiliser_SourceData.Fertiliser_Products_Data4(),FertiliserProducts[[#Headers],[Company]], 91)</f>
        <v/>
      </c>
      <c r="AE184" s="148" t="str" cm="1">
        <f t="array" ref="AE184">Common_InputFunctions.Utility_DisplayArrayInTable(Fertiliser_SourceData.Fertiliser_Products_Data4(),FertiliserProducts[[#Headers],[Company]], 91)</f>
        <v/>
      </c>
      <c r="AF184" s="148" t="str" cm="1">
        <f t="array" ref="AF184">Common_InputFunctions.Utility_DisplayArrayInTable(Fertiliser_SourceData.Fertiliser_Products_Data4(),FertiliserProducts[[#Headers],[Company]], 91)</f>
        <v/>
      </c>
      <c r="AG184" s="148" t="str" cm="1">
        <f t="array" ref="AG184">Common_InputFunctions.Utility_DisplayArrayInTable(Fertiliser_SourceData.Fertiliser_Products_Data4(),FertiliserProducts[[#Headers],[Company]], 91)</f>
        <v/>
      </c>
      <c r="AH184" s="148" t="str" cm="1">
        <f t="array" ref="AH184">Common_InputFunctions.Utility_DisplayArrayInTable(Fertiliser_SourceData.Fertiliser_Products_Data4(),FertiliserProducts[[#Headers],[Company]], 91)</f>
        <v/>
      </c>
    </row>
    <row r="185" spans="1:37" ht="20.100000000000001" customHeight="1" x14ac:dyDescent="0.2">
      <c r="D185" s="148" t="str" cm="1">
        <f t="array" ref="D185">Common_InputFunctions.Utility_DisplayArrayInTable(Fertiliser_SourceData.Fertiliser_Products_Data4(),FertiliserProducts[[#Headers],[Company]], 91)</f>
        <v>Pacific Fertiliser / Incitec Pivot Fertilisers</v>
      </c>
      <c r="E185" s="148" t="str" cm="1">
        <f t="array" ref="E185">Common_InputFunctions.Utility_DisplayArrayInTable(Fertiliser_SourceData.Fertiliser_Products_Data4(),FertiliserProducts[[#Headers],[Company]], 91)</f>
        <v>Cal-Gran</v>
      </c>
      <c r="F185" s="148" t="str" cm="1">
        <f t="array" ref="F185">Common_InputFunctions.Utility_DisplayArrayInTable(Fertiliser_SourceData.Fertiliser_Products_Data4(),FertiliserProducts[[#Headers],[Company]], 91)</f>
        <v>kg</v>
      </c>
      <c r="G185" s="148" cm="1">
        <f t="array" ref="G185">Common_InputFunctions.Utility_DisplayArrayInTable(Fertiliser_SourceData.Fertiliser_Products_Data4(),FertiliserProducts[[#Headers],[Company]], 91)</f>
        <v>1</v>
      </c>
      <c r="H185" s="148" t="str" cm="1">
        <f t="array" ref="H185">Common_InputFunctions.Utility_DisplayArrayInTable(Fertiliser_SourceData.Fertiliser_Products_Data4(),FertiliserProducts[[#Headers],[Company]], 91)</f>
        <v/>
      </c>
      <c r="I185" s="148" t="str" cm="1">
        <f t="array" ref="I185">Common_InputFunctions.Utility_DisplayArrayInTable(Fertiliser_SourceData.Fertiliser_Products_Data4(),FertiliserProducts[[#Headers],[Company]], 91)</f>
        <v/>
      </c>
      <c r="J185" s="148" t="str" cm="1">
        <f t="array" ref="J185">Common_InputFunctions.Utility_DisplayArrayInTable(Fertiliser_SourceData.Fertiliser_Products_Data4(),FertiliserProducts[[#Headers],[Company]], 91)</f>
        <v/>
      </c>
      <c r="K185" s="148" cm="1">
        <f t="array" ref="K185">Common_InputFunctions.Utility_DisplayArrayInTable(Fertiliser_SourceData.Fertiliser_Products_Data4(),FertiliserProducts[[#Headers],[Company]], 91)</f>
        <v>23.9</v>
      </c>
      <c r="L185" s="148" t="str" cm="1">
        <f t="array" ref="L185">Common_InputFunctions.Utility_DisplayArrayInTable(Fertiliser_SourceData.Fertiliser_Products_Data4(),FertiliserProducts[[#Headers],[Company]], 91)</f>
        <v/>
      </c>
      <c r="M185" s="148" t="str" cm="1">
        <f t="array" ref="M185">Common_InputFunctions.Utility_DisplayArrayInTable(Fertiliser_SourceData.Fertiliser_Products_Data4(),FertiliserProducts[[#Headers],[Company]], 91)</f>
        <v/>
      </c>
      <c r="N185" s="148" cm="1">
        <f t="array" ref="N185">Common_InputFunctions.Utility_DisplayArrayInTable(Fertiliser_SourceData.Fertiliser_Products_Data4(),FertiliserProducts[[#Headers],[Company]], 91)</f>
        <v>10.8</v>
      </c>
      <c r="O185" s="148" t="str" cm="1">
        <f t="array" ref="O185">Common_InputFunctions.Utility_DisplayArrayInTable(Fertiliser_SourceData.Fertiliser_Products_Data4(),FertiliserProducts[[#Headers],[Company]], 91)</f>
        <v>Nitrogen - Nitrate</v>
      </c>
      <c r="P185" s="148" cm="1">
        <f t="array" ref="P185">Common_InputFunctions.Utility_DisplayArrayInTable(Fertiliser_SourceData.Fertiliser_Products_Data4(),FertiliserProducts[[#Headers],[Company]], 91)</f>
        <v>7.3999999999999996E-2</v>
      </c>
      <c r="Q185" s="148" t="str" cm="1">
        <f t="array" ref="Q185">Common_InputFunctions.Utility_DisplayArrayInTable(Fertiliser_SourceData.Fertiliser_Products_Data4(),FertiliserProducts[[#Headers],[Company]], 91)</f>
        <v>Nitrogen - Ammoniacal</v>
      </c>
      <c r="R185" s="148" cm="1">
        <f t="array" ref="R185">Common_InputFunctions.Utility_DisplayArrayInTable(Fertiliser_SourceData.Fertiliser_Products_Data4(),FertiliserProducts[[#Headers],[Company]], 91)</f>
        <v>0.16500000000000001</v>
      </c>
      <c r="S185" s="148" t="str" cm="1">
        <f t="array" ref="S185">Common_InputFunctions.Utility_DisplayArrayInTable(Fertiliser_SourceData.Fertiliser_Products_Data4(),FertiliserProducts[[#Headers],[Company]], 91)</f>
        <v>Sulfur - Generic</v>
      </c>
      <c r="T185" s="148" cm="1">
        <f t="array" ref="T185">Common_InputFunctions.Utility_DisplayArrayInTable(Fertiliser_SourceData.Fertiliser_Products_Data4(),FertiliserProducts[[#Headers],[Company]], 91)</f>
        <v>0.108</v>
      </c>
      <c r="U185" s="148" t="str" cm="1">
        <f t="array" ref="U185">Common_InputFunctions.Utility_DisplayArrayInTable(Fertiliser_SourceData.Fertiliser_Products_Data4(),FertiliserProducts[[#Headers],[Company]], 91)</f>
        <v>Calcium</v>
      </c>
      <c r="V185" s="148" cm="1">
        <f t="array" ref="V185">Common_InputFunctions.Utility_DisplayArrayInTable(Fertiliser_SourceData.Fertiliser_Products_Data4(),FertiliserProducts[[#Headers],[Company]], 91)</f>
        <v>4.3999999999999997E-2</v>
      </c>
      <c r="W185" s="148" t="str" cm="1">
        <f t="array" ref="W185">Common_InputFunctions.Utility_DisplayArrayInTable(Fertiliser_SourceData.Fertiliser_Products_Data4(),FertiliserProducts[[#Headers],[Company]], 91)</f>
        <v/>
      </c>
      <c r="X185" s="148" t="str" cm="1">
        <f t="array" ref="X185">Common_InputFunctions.Utility_DisplayArrayInTable(Fertiliser_SourceData.Fertiliser_Products_Data4(),FertiliserProducts[[#Headers],[Company]], 91)</f>
        <v/>
      </c>
      <c r="Y185" s="148" t="str" cm="1">
        <f t="array" ref="Y185">Common_InputFunctions.Utility_DisplayArrayInTable(Fertiliser_SourceData.Fertiliser_Products_Data4(),FertiliserProducts[[#Headers],[Company]], 91)</f>
        <v/>
      </c>
      <c r="Z185" s="148" t="str" cm="1">
        <f t="array" ref="Z185">Common_InputFunctions.Utility_DisplayArrayInTable(Fertiliser_SourceData.Fertiliser_Products_Data4(),FertiliserProducts[[#Headers],[Company]], 91)</f>
        <v/>
      </c>
      <c r="AA185" s="148" t="str" cm="1">
        <f t="array" ref="AA185">Common_InputFunctions.Utility_DisplayArrayInTable(Fertiliser_SourceData.Fertiliser_Products_Data4(),FertiliserProducts[[#Headers],[Company]], 91)</f>
        <v/>
      </c>
      <c r="AB185" s="148" t="str" cm="1">
        <f t="array" ref="AB185">Common_InputFunctions.Utility_DisplayArrayInTable(Fertiliser_SourceData.Fertiliser_Products_Data4(),FertiliserProducts[[#Headers],[Company]], 91)</f>
        <v/>
      </c>
      <c r="AC185" s="148" t="str" cm="1">
        <f t="array" ref="AC185">Common_InputFunctions.Utility_DisplayArrayInTable(Fertiliser_SourceData.Fertiliser_Products_Data4(),FertiliserProducts[[#Headers],[Company]], 91)</f>
        <v/>
      </c>
      <c r="AD185" s="148" t="str" cm="1">
        <f t="array" ref="AD185">Common_InputFunctions.Utility_DisplayArrayInTable(Fertiliser_SourceData.Fertiliser_Products_Data4(),FertiliserProducts[[#Headers],[Company]], 91)</f>
        <v/>
      </c>
      <c r="AE185" s="148" t="str" cm="1">
        <f t="array" ref="AE185">Common_InputFunctions.Utility_DisplayArrayInTable(Fertiliser_SourceData.Fertiliser_Products_Data4(),FertiliserProducts[[#Headers],[Company]], 91)</f>
        <v/>
      </c>
      <c r="AF185" s="148" t="str" cm="1">
        <f t="array" ref="AF185">Common_InputFunctions.Utility_DisplayArrayInTable(Fertiliser_SourceData.Fertiliser_Products_Data4(),FertiliserProducts[[#Headers],[Company]], 91)</f>
        <v/>
      </c>
      <c r="AG185" s="148" t="str" cm="1">
        <f t="array" ref="AG185">Common_InputFunctions.Utility_DisplayArrayInTable(Fertiliser_SourceData.Fertiliser_Products_Data4(),FertiliserProducts[[#Headers],[Company]], 91)</f>
        <v/>
      </c>
      <c r="AH185" s="148" t="str" cm="1">
        <f t="array" ref="AH185">Common_InputFunctions.Utility_DisplayArrayInTable(Fertiliser_SourceData.Fertiliser_Products_Data4(),FertiliserProducts[[#Headers],[Company]], 91)</f>
        <v/>
      </c>
    </row>
    <row r="186" spans="1:37" ht="20.100000000000001" customHeight="1" x14ac:dyDescent="0.2">
      <c r="D186" s="148" t="str" cm="1">
        <f t="array" ref="D186">Common_InputFunctions.Utility_DisplayArrayInTable(Fertiliser_SourceData.Fertiliser_Products_Data4(),FertiliserProducts[[#Headers],[Company]], 91)</f>
        <v>Pacific Fertiliser / Incitec Pivot Fertilisers</v>
      </c>
      <c r="E186" s="148" t="str" cm="1">
        <f t="array" ref="E186">Common_InputFunctions.Utility_DisplayArrayInTable(Fertiliser_SourceData.Fertiliser_Products_Data4(),FertiliserProducts[[#Headers],[Company]], 91)</f>
        <v>Cal-Gran 50/50</v>
      </c>
      <c r="F186" s="148" t="str" cm="1">
        <f t="array" ref="F186">Common_InputFunctions.Utility_DisplayArrayInTable(Fertiliser_SourceData.Fertiliser_Products_Data4(),FertiliserProducts[[#Headers],[Company]], 91)</f>
        <v>kg</v>
      </c>
      <c r="G186" s="148" cm="1">
        <f t="array" ref="G186">Common_InputFunctions.Utility_DisplayArrayInTable(Fertiliser_SourceData.Fertiliser_Products_Data4(),FertiliserProducts[[#Headers],[Company]], 91)</f>
        <v>1</v>
      </c>
      <c r="H186" s="148" t="str" cm="1">
        <f t="array" ref="H186">Common_InputFunctions.Utility_DisplayArrayInTable(Fertiliser_SourceData.Fertiliser_Products_Data4(),FertiliserProducts[[#Headers],[Company]], 91)</f>
        <v/>
      </c>
      <c r="I186" s="148" t="str" cm="1">
        <f t="array" ref="I186">Common_InputFunctions.Utility_DisplayArrayInTable(Fertiliser_SourceData.Fertiliser_Products_Data4(),FertiliserProducts[[#Headers],[Company]], 91)</f>
        <v/>
      </c>
      <c r="J186" s="148" t="str" cm="1">
        <f t="array" ref="J186">Common_InputFunctions.Utility_DisplayArrayInTable(Fertiliser_SourceData.Fertiliser_Products_Data4(),FertiliserProducts[[#Headers],[Company]], 91)</f>
        <v/>
      </c>
      <c r="K186" s="148" cm="1">
        <f t="array" ref="K186">Common_InputFunctions.Utility_DisplayArrayInTable(Fertiliser_SourceData.Fertiliser_Products_Data4(),FertiliserProducts[[#Headers],[Company]], 91)</f>
        <v>17.899999999999999</v>
      </c>
      <c r="L186" s="148" t="str" cm="1">
        <f t="array" ref="L186">Common_InputFunctions.Utility_DisplayArrayInTable(Fertiliser_SourceData.Fertiliser_Products_Data4(),FertiliserProducts[[#Headers],[Company]], 91)</f>
        <v/>
      </c>
      <c r="M186" s="148" cm="1">
        <f t="array" ref="M186">Common_InputFunctions.Utility_DisplayArrayInTable(Fertiliser_SourceData.Fertiliser_Products_Data4(),FertiliserProducts[[#Headers],[Company]], 91)</f>
        <v>15</v>
      </c>
      <c r="N186" s="148" cm="1">
        <f t="array" ref="N186">Common_InputFunctions.Utility_DisplayArrayInTable(Fertiliser_SourceData.Fertiliser_Products_Data4(),FertiliserProducts[[#Headers],[Company]], 91)</f>
        <v>3.6</v>
      </c>
      <c r="O186" s="148" t="str" cm="1">
        <f t="array" ref="O186">Common_InputFunctions.Utility_DisplayArrayInTable(Fertiliser_SourceData.Fertiliser_Products_Data4(),FertiliserProducts[[#Headers],[Company]], 91)</f>
        <v>Nitrogen - Nitrate</v>
      </c>
      <c r="P186" s="148" cm="1">
        <f t="array" ref="P186">Common_InputFunctions.Utility_DisplayArrayInTable(Fertiliser_SourceData.Fertiliser_Products_Data4(),FertiliserProducts[[#Headers],[Company]], 91)</f>
        <v>5.5E-2</v>
      </c>
      <c r="Q186" s="148" t="str" cm="1">
        <f t="array" ref="Q186">Common_InputFunctions.Utility_DisplayArrayInTable(Fertiliser_SourceData.Fertiliser_Products_Data4(),FertiliserProducts[[#Headers],[Company]], 91)</f>
        <v>Nitrogen - Ammoniacal</v>
      </c>
      <c r="R186" s="148" cm="1">
        <f t="array" ref="R186">Common_InputFunctions.Utility_DisplayArrayInTable(Fertiliser_SourceData.Fertiliser_Products_Data4(),FertiliserProducts[[#Headers],[Company]], 91)</f>
        <v>0.124</v>
      </c>
      <c r="S186" s="148" t="str" cm="1">
        <f t="array" ref="S186">Common_InputFunctions.Utility_DisplayArrayInTable(Fertiliser_SourceData.Fertiliser_Products_Data4(),FertiliserProducts[[#Headers],[Company]], 91)</f>
        <v>Potassium - Generic</v>
      </c>
      <c r="T186" s="148" cm="1">
        <f t="array" ref="T186">Common_InputFunctions.Utility_DisplayArrayInTable(Fertiliser_SourceData.Fertiliser_Products_Data4(),FertiliserProducts[[#Headers],[Company]], 91)</f>
        <v>0.15</v>
      </c>
      <c r="U186" s="148" t="str" cm="1">
        <f t="array" ref="U186">Common_InputFunctions.Utility_DisplayArrayInTable(Fertiliser_SourceData.Fertiliser_Products_Data4(),FertiliserProducts[[#Headers],[Company]], 91)</f>
        <v>Sulfur - Generic</v>
      </c>
      <c r="V186" s="148" cm="1">
        <f t="array" ref="V186">Common_InputFunctions.Utility_DisplayArrayInTable(Fertiliser_SourceData.Fertiliser_Products_Data4(),FertiliserProducts[[#Headers],[Company]], 91)</f>
        <v>3.5999999999999997E-2</v>
      </c>
      <c r="W186" s="148" t="str" cm="1">
        <f t="array" ref="W186">Common_InputFunctions.Utility_DisplayArrayInTable(Fertiliser_SourceData.Fertiliser_Products_Data4(),FertiliserProducts[[#Headers],[Company]], 91)</f>
        <v>Calcium</v>
      </c>
      <c r="X186" s="148" cm="1">
        <f t="array" ref="X186">Common_InputFunctions.Utility_DisplayArrayInTable(Fertiliser_SourceData.Fertiliser_Products_Data4(),FertiliserProducts[[#Headers],[Company]], 91)</f>
        <v>4.3999999999999997E-2</v>
      </c>
      <c r="Y186" s="148" t="str" cm="1">
        <f t="array" ref="Y186">Common_InputFunctions.Utility_DisplayArrayInTable(Fertiliser_SourceData.Fertiliser_Products_Data4(),FertiliserProducts[[#Headers],[Company]], 91)</f>
        <v/>
      </c>
      <c r="Z186" s="148" t="str" cm="1">
        <f t="array" ref="Z186">Common_InputFunctions.Utility_DisplayArrayInTable(Fertiliser_SourceData.Fertiliser_Products_Data4(),FertiliserProducts[[#Headers],[Company]], 91)</f>
        <v/>
      </c>
      <c r="AA186" s="148" t="str" cm="1">
        <f t="array" ref="AA186">Common_InputFunctions.Utility_DisplayArrayInTable(Fertiliser_SourceData.Fertiliser_Products_Data4(),FertiliserProducts[[#Headers],[Company]], 91)</f>
        <v/>
      </c>
      <c r="AB186" s="148" t="str" cm="1">
        <f t="array" ref="AB186">Common_InputFunctions.Utility_DisplayArrayInTable(Fertiliser_SourceData.Fertiliser_Products_Data4(),FertiliserProducts[[#Headers],[Company]], 91)</f>
        <v/>
      </c>
      <c r="AC186" s="148" t="str" cm="1">
        <f t="array" ref="AC186">Common_InputFunctions.Utility_DisplayArrayInTable(Fertiliser_SourceData.Fertiliser_Products_Data4(),FertiliserProducts[[#Headers],[Company]], 91)</f>
        <v/>
      </c>
      <c r="AD186" s="148" t="str" cm="1">
        <f t="array" ref="AD186">Common_InputFunctions.Utility_DisplayArrayInTable(Fertiliser_SourceData.Fertiliser_Products_Data4(),FertiliserProducts[[#Headers],[Company]], 91)</f>
        <v/>
      </c>
      <c r="AE186" s="148" t="str" cm="1">
        <f t="array" ref="AE186">Common_InputFunctions.Utility_DisplayArrayInTable(Fertiliser_SourceData.Fertiliser_Products_Data4(),FertiliserProducts[[#Headers],[Company]], 91)</f>
        <v/>
      </c>
      <c r="AF186" s="148" t="str" cm="1">
        <f t="array" ref="AF186">Common_InputFunctions.Utility_DisplayArrayInTable(Fertiliser_SourceData.Fertiliser_Products_Data4(),FertiliserProducts[[#Headers],[Company]], 91)</f>
        <v/>
      </c>
      <c r="AG186" s="148" t="str" cm="1">
        <f t="array" ref="AG186">Common_InputFunctions.Utility_DisplayArrayInTable(Fertiliser_SourceData.Fertiliser_Products_Data4(),FertiliserProducts[[#Headers],[Company]], 91)</f>
        <v/>
      </c>
      <c r="AH186" s="148" t="str" cm="1">
        <f t="array" ref="AH186">Common_InputFunctions.Utility_DisplayArrayInTable(Fertiliser_SourceData.Fertiliser_Products_Data4(),FertiliserProducts[[#Headers],[Company]], 91)</f>
        <v/>
      </c>
    </row>
    <row r="187" spans="1:37" ht="20.100000000000001" customHeight="1" x14ac:dyDescent="0.2">
      <c r="D187" s="148" t="str" cm="1">
        <f t="array" ref="D187">Common_InputFunctions.Utility_DisplayArrayInTable(Fertiliser_SourceData.Fertiliser_Products_Data4(),FertiliserProducts[[#Headers],[Company]], 91)</f>
        <v>Pacific Fertiliser / Incitec Pivot Fertilisers</v>
      </c>
      <c r="E187" s="148" t="str" cm="1">
        <f t="array" ref="E187">Common_InputFunctions.Utility_DisplayArrayInTable(Fertiliser_SourceData.Fertiliser_Products_Data4(),FertiliserProducts[[#Headers],[Company]], 91)</f>
        <v>Cal-Gran 50/50 (S)</v>
      </c>
      <c r="F187" s="148" t="str" cm="1">
        <f t="array" ref="F187">Common_InputFunctions.Utility_DisplayArrayInTable(Fertiliser_SourceData.Fertiliser_Products_Data4(),FertiliserProducts[[#Headers],[Company]], 91)</f>
        <v>kg</v>
      </c>
      <c r="G187" s="148" cm="1">
        <f t="array" ref="G187">Common_InputFunctions.Utility_DisplayArrayInTable(Fertiliser_SourceData.Fertiliser_Products_Data4(),FertiliserProducts[[#Headers],[Company]], 91)</f>
        <v>1</v>
      </c>
      <c r="H187" s="148" t="str" cm="1">
        <f t="array" ref="H187">Common_InputFunctions.Utility_DisplayArrayInTable(Fertiliser_SourceData.Fertiliser_Products_Data4(),FertiliserProducts[[#Headers],[Company]], 91)</f>
        <v/>
      </c>
      <c r="I187" s="148" t="str" cm="1">
        <f t="array" ref="I187">Common_InputFunctions.Utility_DisplayArrayInTable(Fertiliser_SourceData.Fertiliser_Products_Data4(),FertiliserProducts[[#Headers],[Company]], 91)</f>
        <v/>
      </c>
      <c r="J187" s="148" t="str" cm="1">
        <f t="array" ref="J187">Common_InputFunctions.Utility_DisplayArrayInTable(Fertiliser_SourceData.Fertiliser_Products_Data4(),FertiliserProducts[[#Headers],[Company]], 91)</f>
        <v/>
      </c>
      <c r="K187" s="148" cm="1">
        <f t="array" ref="K187">Common_InputFunctions.Utility_DisplayArrayInTable(Fertiliser_SourceData.Fertiliser_Products_Data4(),FertiliserProducts[[#Headers],[Company]], 91)</f>
        <v>16.899999999999999</v>
      </c>
      <c r="L187" s="148" t="str" cm="1">
        <f t="array" ref="L187">Common_InputFunctions.Utility_DisplayArrayInTable(Fertiliser_SourceData.Fertiliser_Products_Data4(),FertiliserProducts[[#Headers],[Company]], 91)</f>
        <v/>
      </c>
      <c r="M187" s="148" cm="1">
        <f t="array" ref="M187">Common_InputFunctions.Utility_DisplayArrayInTable(Fertiliser_SourceData.Fertiliser_Products_Data4(),FertiliserProducts[[#Headers],[Company]], 91)</f>
        <v>14.4</v>
      </c>
      <c r="N187" s="148" cm="1">
        <f t="array" ref="N187">Common_InputFunctions.Utility_DisplayArrayInTable(Fertiliser_SourceData.Fertiliser_Products_Data4(),FertiliserProducts[[#Headers],[Company]], 91)</f>
        <v>8.6999999999999993</v>
      </c>
      <c r="O187" s="148" t="str" cm="1">
        <f t="array" ref="O187">Common_InputFunctions.Utility_DisplayArrayInTable(Fertiliser_SourceData.Fertiliser_Products_Data4(),FertiliserProducts[[#Headers],[Company]], 91)</f>
        <v>Nitrogen - Nitrate</v>
      </c>
      <c r="P187" s="148" cm="1">
        <f t="array" ref="P187">Common_InputFunctions.Utility_DisplayArrayInTable(Fertiliser_SourceData.Fertiliser_Products_Data4(),FertiliserProducts[[#Headers],[Company]], 91)</f>
        <v>5.1999999999999998E-2</v>
      </c>
      <c r="Q187" s="148" t="str" cm="1">
        <f t="array" ref="Q187">Common_InputFunctions.Utility_DisplayArrayInTable(Fertiliser_SourceData.Fertiliser_Products_Data4(),FertiliserProducts[[#Headers],[Company]], 91)</f>
        <v>Nitrogen - Ammoniacal</v>
      </c>
      <c r="R187" s="148" cm="1">
        <f t="array" ref="R187">Common_InputFunctions.Utility_DisplayArrayInTable(Fertiliser_SourceData.Fertiliser_Products_Data4(),FertiliserProducts[[#Headers],[Company]], 91)</f>
        <v>0.11700000000000001</v>
      </c>
      <c r="S187" s="148" t="str" cm="1">
        <f t="array" ref="S187">Common_InputFunctions.Utility_DisplayArrayInTable(Fertiliser_SourceData.Fertiliser_Products_Data4(),FertiliserProducts[[#Headers],[Company]], 91)</f>
        <v>Potassium - Generic</v>
      </c>
      <c r="T187" s="148" cm="1">
        <f t="array" ref="T187">Common_InputFunctions.Utility_DisplayArrayInTable(Fertiliser_SourceData.Fertiliser_Products_Data4(),FertiliserProducts[[#Headers],[Company]], 91)</f>
        <v>0.14399999999999999</v>
      </c>
      <c r="U187" s="148" t="str" cm="1">
        <f t="array" ref="U187">Common_InputFunctions.Utility_DisplayArrayInTable(Fertiliser_SourceData.Fertiliser_Products_Data4(),FertiliserProducts[[#Headers],[Company]], 91)</f>
        <v>Sulfur - Generic</v>
      </c>
      <c r="V187" s="148" cm="1">
        <f t="array" ref="V187">Common_InputFunctions.Utility_DisplayArrayInTable(Fertiliser_SourceData.Fertiliser_Products_Data4(),FertiliserProducts[[#Headers],[Company]], 91)</f>
        <v>8.6999999999999994E-2</v>
      </c>
      <c r="W187" s="148" t="str" cm="1">
        <f t="array" ref="W187">Common_InputFunctions.Utility_DisplayArrayInTable(Fertiliser_SourceData.Fertiliser_Products_Data4(),FertiliserProducts[[#Headers],[Company]], 91)</f>
        <v>Calcium</v>
      </c>
      <c r="X187" s="148" cm="1">
        <f t="array" ref="X187">Common_InputFunctions.Utility_DisplayArrayInTable(Fertiliser_SourceData.Fertiliser_Products_Data4(),FertiliserProducts[[#Headers],[Company]], 91)</f>
        <v>4.3999999999999997E-2</v>
      </c>
      <c r="Y187" s="148" t="str" cm="1">
        <f t="array" ref="Y187">Common_InputFunctions.Utility_DisplayArrayInTable(Fertiliser_SourceData.Fertiliser_Products_Data4(),FertiliserProducts[[#Headers],[Company]], 91)</f>
        <v/>
      </c>
      <c r="Z187" s="148" t="str" cm="1">
        <f t="array" ref="Z187">Common_InputFunctions.Utility_DisplayArrayInTable(Fertiliser_SourceData.Fertiliser_Products_Data4(),FertiliserProducts[[#Headers],[Company]], 91)</f>
        <v/>
      </c>
      <c r="AA187" s="148" t="str" cm="1">
        <f t="array" ref="AA187">Common_InputFunctions.Utility_DisplayArrayInTable(Fertiliser_SourceData.Fertiliser_Products_Data4(),FertiliserProducts[[#Headers],[Company]], 91)</f>
        <v/>
      </c>
      <c r="AB187" s="148" t="str" cm="1">
        <f t="array" ref="AB187">Common_InputFunctions.Utility_DisplayArrayInTable(Fertiliser_SourceData.Fertiliser_Products_Data4(),FertiliserProducts[[#Headers],[Company]], 91)</f>
        <v/>
      </c>
      <c r="AC187" s="148" t="str" cm="1">
        <f t="array" ref="AC187">Common_InputFunctions.Utility_DisplayArrayInTable(Fertiliser_SourceData.Fertiliser_Products_Data4(),FertiliserProducts[[#Headers],[Company]], 91)</f>
        <v/>
      </c>
      <c r="AD187" s="148" t="str" cm="1">
        <f t="array" ref="AD187">Common_InputFunctions.Utility_DisplayArrayInTable(Fertiliser_SourceData.Fertiliser_Products_Data4(),FertiliserProducts[[#Headers],[Company]], 91)</f>
        <v/>
      </c>
      <c r="AE187" s="148" t="str" cm="1">
        <f t="array" ref="AE187">Common_InputFunctions.Utility_DisplayArrayInTable(Fertiliser_SourceData.Fertiliser_Products_Data4(),FertiliserProducts[[#Headers],[Company]], 91)</f>
        <v/>
      </c>
      <c r="AF187" s="148" t="str" cm="1">
        <f t="array" ref="AF187">Common_InputFunctions.Utility_DisplayArrayInTable(Fertiliser_SourceData.Fertiliser_Products_Data4(),FertiliserProducts[[#Headers],[Company]], 91)</f>
        <v/>
      </c>
      <c r="AG187" s="148" t="str" cm="1">
        <f t="array" ref="AG187">Common_InputFunctions.Utility_DisplayArrayInTable(Fertiliser_SourceData.Fertiliser_Products_Data4(),FertiliserProducts[[#Headers],[Company]], 91)</f>
        <v/>
      </c>
      <c r="AH187" s="148" t="str" cm="1">
        <f t="array" ref="AH187">Common_InputFunctions.Utility_DisplayArrayInTable(Fertiliser_SourceData.Fertiliser_Products_Data4(),FertiliserProducts[[#Headers],[Company]], 91)</f>
        <v/>
      </c>
    </row>
    <row r="188" spans="1:37" ht="20.100000000000001" customHeight="1" x14ac:dyDescent="0.2">
      <c r="A188" s="79" t="str">
        <f>HYPERLINK("#A1", "▲ Back to top")</f>
        <v>▲ Back to top</v>
      </c>
      <c r="D188" s="148" t="str" cm="1">
        <f t="array" ref="D188">Common_InputFunctions.Utility_DisplayArrayInTable(Fertiliser_SourceData.Fertiliser_Products_Data4(),FertiliserProducts[[#Headers],[Company]], 91)</f>
        <v>Pacific Fertiliser / Incitec Pivot Fertilisers</v>
      </c>
      <c r="E188" s="148" t="str" cm="1">
        <f t="array" ref="E188">Common_InputFunctions.Utility_DisplayArrayInTable(Fertiliser_SourceData.Fertiliser_Products_Data4(),FertiliserProducts[[#Headers],[Company]], 91)</f>
        <v>Cal-Gran 130</v>
      </c>
      <c r="F188" s="148" t="str" cm="1">
        <f t="array" ref="F188">Common_InputFunctions.Utility_DisplayArrayInTable(Fertiliser_SourceData.Fertiliser_Products_Data4(),FertiliserProducts[[#Headers],[Company]], 91)</f>
        <v>kg</v>
      </c>
      <c r="G188" s="148" cm="1">
        <f t="array" ref="G188">Common_InputFunctions.Utility_DisplayArrayInTable(Fertiliser_SourceData.Fertiliser_Products_Data4(),FertiliserProducts[[#Headers],[Company]], 91)</f>
        <v>1</v>
      </c>
      <c r="H188" s="148" t="str" cm="1">
        <f t="array" ref="H188">Common_InputFunctions.Utility_DisplayArrayInTable(Fertiliser_SourceData.Fertiliser_Products_Data4(),FertiliserProducts[[#Headers],[Company]], 91)</f>
        <v/>
      </c>
      <c r="I188" s="148" t="str" cm="1">
        <f t="array" ref="I188">Common_InputFunctions.Utility_DisplayArrayInTable(Fertiliser_SourceData.Fertiliser_Products_Data4(),FertiliserProducts[[#Headers],[Company]], 91)</f>
        <v/>
      </c>
      <c r="J188" s="148" t="str" cm="1">
        <f t="array" ref="J188">Common_InputFunctions.Utility_DisplayArrayInTable(Fertiliser_SourceData.Fertiliser_Products_Data4(),FertiliserProducts[[#Headers],[Company]], 91)</f>
        <v/>
      </c>
      <c r="K188" s="148" cm="1">
        <f t="array" ref="K188">Common_InputFunctions.Utility_DisplayArrayInTable(Fertiliser_SourceData.Fertiliser_Products_Data4(),FertiliserProducts[[#Headers],[Company]], 91)</f>
        <v>18.8</v>
      </c>
      <c r="L188" s="148" cm="1">
        <f t="array" ref="L188">Common_InputFunctions.Utility_DisplayArrayInTable(Fertiliser_SourceData.Fertiliser_Products_Data4(),FertiliserProducts[[#Headers],[Company]], 91)</f>
        <v>1</v>
      </c>
      <c r="M188" s="148" cm="1">
        <f t="array" ref="M188">Common_InputFunctions.Utility_DisplayArrayInTable(Fertiliser_SourceData.Fertiliser_Products_Data4(),FertiliserProducts[[#Headers],[Company]], 91)</f>
        <v>12.5</v>
      </c>
      <c r="N188" s="148" cm="1">
        <f t="array" ref="N188">Common_InputFunctions.Utility_DisplayArrayInTable(Fertiliser_SourceData.Fertiliser_Products_Data4(),FertiliserProducts[[#Headers],[Company]], 91)</f>
        <v>3.7</v>
      </c>
      <c r="O188" s="148" t="str" cm="1">
        <f t="array" ref="O188">Common_InputFunctions.Utility_DisplayArrayInTable(Fertiliser_SourceData.Fertiliser_Products_Data4(),FertiliserProducts[[#Headers],[Company]], 91)</f>
        <v>Nitrogen - Nitrate</v>
      </c>
      <c r="P188" s="148" cm="1">
        <f t="array" ref="P188">Common_InputFunctions.Utility_DisplayArrayInTable(Fertiliser_SourceData.Fertiliser_Products_Data4(),FertiliserProducts[[#Headers],[Company]], 91)</f>
        <v>5.8000000000000003E-2</v>
      </c>
      <c r="Q188" s="148" t="str" cm="1">
        <f t="array" ref="Q188">Common_InputFunctions.Utility_DisplayArrayInTable(Fertiliser_SourceData.Fertiliser_Products_Data4(),FertiliserProducts[[#Headers],[Company]], 91)</f>
        <v>Nitrogen - Ammoniacal</v>
      </c>
      <c r="R188" s="148" cm="1">
        <f t="array" ref="R188">Common_InputFunctions.Utility_DisplayArrayInTable(Fertiliser_SourceData.Fertiliser_Products_Data4(),FertiliserProducts[[#Headers],[Company]], 91)</f>
        <v>0.13</v>
      </c>
      <c r="S188" s="148" t="str" cm="1">
        <f t="array" ref="S188">Common_InputFunctions.Utility_DisplayArrayInTable(Fertiliser_SourceData.Fertiliser_Products_Data4(),FertiliserProducts[[#Headers],[Company]], 91)</f>
        <v>Phosphorus - Generic</v>
      </c>
      <c r="T188" s="148" cm="1">
        <f t="array" ref="T188">Common_InputFunctions.Utility_DisplayArrayInTable(Fertiliser_SourceData.Fertiliser_Products_Data4(),FertiliserProducts[[#Headers],[Company]], 91)</f>
        <v>0.01</v>
      </c>
      <c r="U188" s="148" t="str" cm="1">
        <f t="array" ref="U188">Common_InputFunctions.Utility_DisplayArrayInTable(Fertiliser_SourceData.Fertiliser_Products_Data4(),FertiliserProducts[[#Headers],[Company]], 91)</f>
        <v>Potassium - Generic</v>
      </c>
      <c r="V188" s="148" cm="1">
        <f t="array" ref="V188">Common_InputFunctions.Utility_DisplayArrayInTable(Fertiliser_SourceData.Fertiliser_Products_Data4(),FertiliserProducts[[#Headers],[Company]], 91)</f>
        <v>0.125</v>
      </c>
      <c r="W188" s="148" t="str" cm="1">
        <f t="array" ref="W188">Common_InputFunctions.Utility_DisplayArrayInTable(Fertiliser_SourceData.Fertiliser_Products_Data4(),FertiliserProducts[[#Headers],[Company]], 91)</f>
        <v>Sulfur - Generic</v>
      </c>
      <c r="X188" s="148" cm="1">
        <f t="array" ref="X188">Common_InputFunctions.Utility_DisplayArrayInTable(Fertiliser_SourceData.Fertiliser_Products_Data4(),FertiliserProducts[[#Headers],[Company]], 91)</f>
        <v>3.6999999999999998E-2</v>
      </c>
      <c r="Y188" s="148" t="str" cm="1">
        <f t="array" ref="Y188">Common_InputFunctions.Utility_DisplayArrayInTable(Fertiliser_SourceData.Fertiliser_Products_Data4(),FertiliserProducts[[#Headers],[Company]], 91)</f>
        <v>Calcium</v>
      </c>
      <c r="Z188" s="148" cm="1">
        <f t="array" ref="Z188">Common_InputFunctions.Utility_DisplayArrayInTable(Fertiliser_SourceData.Fertiliser_Products_Data4(),FertiliserProducts[[#Headers],[Company]], 91)</f>
        <v>4.3999999999999997E-2</v>
      </c>
      <c r="AA188" s="148" t="str" cm="1">
        <f t="array" ref="AA188">Common_InputFunctions.Utility_DisplayArrayInTable(Fertiliser_SourceData.Fertiliser_Products_Data4(),FertiliserProducts[[#Headers],[Company]], 91)</f>
        <v/>
      </c>
      <c r="AB188" s="148" t="str" cm="1">
        <f t="array" ref="AB188">Common_InputFunctions.Utility_DisplayArrayInTable(Fertiliser_SourceData.Fertiliser_Products_Data4(),FertiliserProducts[[#Headers],[Company]], 91)</f>
        <v/>
      </c>
      <c r="AC188" s="148" t="str" cm="1">
        <f t="array" ref="AC188">Common_InputFunctions.Utility_DisplayArrayInTable(Fertiliser_SourceData.Fertiliser_Products_Data4(),FertiliserProducts[[#Headers],[Company]], 91)</f>
        <v/>
      </c>
      <c r="AD188" s="148" t="str" cm="1">
        <f t="array" ref="AD188">Common_InputFunctions.Utility_DisplayArrayInTable(Fertiliser_SourceData.Fertiliser_Products_Data4(),FertiliserProducts[[#Headers],[Company]], 91)</f>
        <v/>
      </c>
      <c r="AE188" s="148" t="str" cm="1">
        <f t="array" ref="AE188">Common_InputFunctions.Utility_DisplayArrayInTable(Fertiliser_SourceData.Fertiliser_Products_Data4(),FertiliserProducts[[#Headers],[Company]], 91)</f>
        <v/>
      </c>
      <c r="AF188" s="148" t="str" cm="1">
        <f t="array" ref="AF188">Common_InputFunctions.Utility_DisplayArrayInTable(Fertiliser_SourceData.Fertiliser_Products_Data4(),FertiliserProducts[[#Headers],[Company]], 91)</f>
        <v/>
      </c>
      <c r="AG188" s="148" t="str" cm="1">
        <f t="array" ref="AG188">Common_InputFunctions.Utility_DisplayArrayInTable(Fertiliser_SourceData.Fertiliser_Products_Data4(),FertiliserProducts[[#Headers],[Company]], 91)</f>
        <v/>
      </c>
      <c r="AH188" s="148" t="str" cm="1">
        <f t="array" ref="AH188">Common_InputFunctions.Utility_DisplayArrayInTable(Fertiliser_SourceData.Fertiliser_Products_Data4(),FertiliserProducts[[#Headers],[Company]], 91)</f>
        <v/>
      </c>
    </row>
    <row r="189" spans="1:37" ht="20.100000000000001" customHeight="1" x14ac:dyDescent="0.2">
      <c r="D189" s="148" t="str" cm="1">
        <f t="array" ref="D189">Common_InputFunctions.Utility_DisplayArrayInTable(Fertiliser_SourceData.Fertiliser_Products_Data4(),FertiliserProducts[[#Headers],[Company]], 91)</f>
        <v>Pacific Fertiliser / Incitec Pivot Fertilisers</v>
      </c>
      <c r="E189" s="148" t="str" cm="1">
        <f t="array" ref="E189">Common_InputFunctions.Utility_DisplayArrayInTable(Fertiliser_SourceData.Fertiliser_Products_Data4(),FertiliserProducts[[#Headers],[Company]], 91)</f>
        <v>Cal-Gran 150</v>
      </c>
      <c r="F189" s="148" t="str" cm="1">
        <f t="array" ref="F189">Common_InputFunctions.Utility_DisplayArrayInTable(Fertiliser_SourceData.Fertiliser_Products_Data4(),FertiliserProducts[[#Headers],[Company]], 91)</f>
        <v>kg</v>
      </c>
      <c r="G189" s="148" cm="1">
        <f t="array" ref="G189">Common_InputFunctions.Utility_DisplayArrayInTable(Fertiliser_SourceData.Fertiliser_Products_Data4(),FertiliserProducts[[#Headers],[Company]], 91)</f>
        <v>1</v>
      </c>
      <c r="H189" s="148" t="str" cm="1">
        <f t="array" ref="H189">Common_InputFunctions.Utility_DisplayArrayInTable(Fertiliser_SourceData.Fertiliser_Products_Data4(),FertiliserProducts[[#Headers],[Company]], 91)</f>
        <v/>
      </c>
      <c r="I189" s="148" t="str" cm="1">
        <f t="array" ref="I189">Common_InputFunctions.Utility_DisplayArrayInTable(Fertiliser_SourceData.Fertiliser_Products_Data4(),FertiliserProducts[[#Headers],[Company]], 91)</f>
        <v/>
      </c>
      <c r="J189" s="148" t="str" cm="1">
        <f t="array" ref="J189">Common_InputFunctions.Utility_DisplayArrayInTable(Fertiliser_SourceData.Fertiliser_Products_Data4(),FertiliserProducts[[#Headers],[Company]], 91)</f>
        <v/>
      </c>
      <c r="K189" s="148" cm="1">
        <f t="array" ref="K189">Common_InputFunctions.Utility_DisplayArrayInTable(Fertiliser_SourceData.Fertiliser_Products_Data4(),FertiliserProducts[[#Headers],[Company]], 91)</f>
        <v>18.600000000000001</v>
      </c>
      <c r="L189" s="148" cm="1">
        <f t="array" ref="L189">Common_InputFunctions.Utility_DisplayArrayInTable(Fertiliser_SourceData.Fertiliser_Products_Data4(),FertiliserProducts[[#Headers],[Company]], 91)</f>
        <v>3</v>
      </c>
      <c r="M189" s="148" cm="1">
        <f t="array" ref="M189">Common_InputFunctions.Utility_DisplayArrayInTable(Fertiliser_SourceData.Fertiliser_Products_Data4(),FertiliserProducts[[#Headers],[Company]], 91)</f>
        <v>12.5</v>
      </c>
      <c r="N189" s="148" cm="1">
        <f t="array" ref="N189">Common_InputFunctions.Utility_DisplayArrayInTable(Fertiliser_SourceData.Fertiliser_Products_Data4(),FertiliserProducts[[#Headers],[Company]], 91)</f>
        <v>1.4</v>
      </c>
      <c r="O189" s="148" t="str" cm="1">
        <f t="array" ref="O189">Common_InputFunctions.Utility_DisplayArrayInTable(Fertiliser_SourceData.Fertiliser_Products_Data4(),FertiliserProducts[[#Headers],[Company]], 91)</f>
        <v>Nitrogen - Nitrate</v>
      </c>
      <c r="P189" s="148" cm="1">
        <f t="array" ref="P189">Common_InputFunctions.Utility_DisplayArrayInTable(Fertiliser_SourceData.Fertiliser_Products_Data4(),FertiliserProducts[[#Headers],[Company]], 91)</f>
        <v>5.8000000000000003E-2</v>
      </c>
      <c r="Q189" s="148" t="str" cm="1">
        <f t="array" ref="Q189">Common_InputFunctions.Utility_DisplayArrayInTable(Fertiliser_SourceData.Fertiliser_Products_Data4(),FertiliserProducts[[#Headers],[Company]], 91)</f>
        <v>Nitrogen - Ammoniacal</v>
      </c>
      <c r="R189" s="148" cm="1">
        <f t="array" ref="R189">Common_InputFunctions.Utility_DisplayArrayInTable(Fertiliser_SourceData.Fertiliser_Products_Data4(),FertiliserProducts[[#Headers],[Company]], 91)</f>
        <v>0.128</v>
      </c>
      <c r="S189" s="148" t="str" cm="1">
        <f t="array" ref="S189">Common_InputFunctions.Utility_DisplayArrayInTable(Fertiliser_SourceData.Fertiliser_Products_Data4(),FertiliserProducts[[#Headers],[Company]], 91)</f>
        <v>Phosphorus - Generic</v>
      </c>
      <c r="T189" s="148" cm="1">
        <f t="array" ref="T189">Common_InputFunctions.Utility_DisplayArrayInTable(Fertiliser_SourceData.Fertiliser_Products_Data4(),FertiliserProducts[[#Headers],[Company]], 91)</f>
        <v>0.03</v>
      </c>
      <c r="U189" s="148" t="str" cm="1">
        <f t="array" ref="U189">Common_InputFunctions.Utility_DisplayArrayInTable(Fertiliser_SourceData.Fertiliser_Products_Data4(),FertiliserProducts[[#Headers],[Company]], 91)</f>
        <v>Potassium - Generic</v>
      </c>
      <c r="V189" s="148" cm="1">
        <f t="array" ref="V189">Common_InputFunctions.Utility_DisplayArrayInTable(Fertiliser_SourceData.Fertiliser_Products_Data4(),FertiliserProducts[[#Headers],[Company]], 91)</f>
        <v>0.125</v>
      </c>
      <c r="W189" s="148" t="str" cm="1">
        <f t="array" ref="W189">Common_InputFunctions.Utility_DisplayArrayInTable(Fertiliser_SourceData.Fertiliser_Products_Data4(),FertiliserProducts[[#Headers],[Company]], 91)</f>
        <v>Sulfur - Generic</v>
      </c>
      <c r="X189" s="148" cm="1">
        <f t="array" ref="X189">Common_InputFunctions.Utility_DisplayArrayInTable(Fertiliser_SourceData.Fertiliser_Products_Data4(),FertiliserProducts[[#Headers],[Company]], 91)</f>
        <v>1.4E-2</v>
      </c>
      <c r="Y189" s="148" t="str" cm="1">
        <f t="array" ref="Y189">Common_InputFunctions.Utility_DisplayArrayInTable(Fertiliser_SourceData.Fertiliser_Products_Data4(),FertiliserProducts[[#Headers],[Company]], 91)</f>
        <v>Calcium</v>
      </c>
      <c r="Z189" s="148" cm="1">
        <f t="array" ref="Z189">Common_InputFunctions.Utility_DisplayArrayInTable(Fertiliser_SourceData.Fertiliser_Products_Data4(),FertiliserProducts[[#Headers],[Company]], 91)</f>
        <v>4.3999999999999997E-2</v>
      </c>
      <c r="AA189" s="148" t="str" cm="1">
        <f t="array" ref="AA189">Common_InputFunctions.Utility_DisplayArrayInTable(Fertiliser_SourceData.Fertiliser_Products_Data4(),FertiliserProducts[[#Headers],[Company]], 91)</f>
        <v/>
      </c>
      <c r="AB189" s="148" t="str" cm="1">
        <f t="array" ref="AB189">Common_InputFunctions.Utility_DisplayArrayInTable(Fertiliser_SourceData.Fertiliser_Products_Data4(),FertiliserProducts[[#Headers],[Company]], 91)</f>
        <v/>
      </c>
      <c r="AC189" s="148" t="str" cm="1">
        <f t="array" ref="AC189">Common_InputFunctions.Utility_DisplayArrayInTable(Fertiliser_SourceData.Fertiliser_Products_Data4(),FertiliserProducts[[#Headers],[Company]], 91)</f>
        <v/>
      </c>
      <c r="AD189" s="148" t="str" cm="1">
        <f t="array" ref="AD189">Common_InputFunctions.Utility_DisplayArrayInTable(Fertiliser_SourceData.Fertiliser_Products_Data4(),FertiliserProducts[[#Headers],[Company]], 91)</f>
        <v/>
      </c>
      <c r="AE189" s="148" t="str" cm="1">
        <f t="array" ref="AE189">Common_InputFunctions.Utility_DisplayArrayInTable(Fertiliser_SourceData.Fertiliser_Products_Data4(),FertiliserProducts[[#Headers],[Company]], 91)</f>
        <v/>
      </c>
      <c r="AF189" s="148" t="str" cm="1">
        <f t="array" ref="AF189">Common_InputFunctions.Utility_DisplayArrayInTable(Fertiliser_SourceData.Fertiliser_Products_Data4(),FertiliserProducts[[#Headers],[Company]], 91)</f>
        <v/>
      </c>
      <c r="AG189" s="148" t="str" cm="1">
        <f t="array" ref="AG189">Common_InputFunctions.Utility_DisplayArrayInTable(Fertiliser_SourceData.Fertiliser_Products_Data4(),FertiliserProducts[[#Headers],[Company]], 91)</f>
        <v/>
      </c>
      <c r="AH189" s="148" t="str" cm="1">
        <f t="array" ref="AH189">Common_InputFunctions.Utility_DisplayArrayInTable(Fertiliser_SourceData.Fertiliser_Products_Data4(),FertiliserProducts[[#Headers],[Company]], 91)</f>
        <v/>
      </c>
    </row>
    <row r="190" spans="1:37" ht="20.100000000000001" customHeight="1" x14ac:dyDescent="0.2">
      <c r="D190" s="148" t="str" cm="1">
        <f t="array" ref="D190">Common_InputFunctions.Utility_DisplayArrayInTable(Fertiliser_SourceData.Fertiliser_Products_Data4(),FertiliserProducts[[#Headers],[Company]], 91)</f>
        <v>Pacific Fertiliser / Incitec Pivot Fertilisers</v>
      </c>
      <c r="E190" s="148" t="str" cm="1">
        <f t="array" ref="E190">Common_InputFunctions.Utility_DisplayArrayInTable(Fertiliser_SourceData.Fertiliser_Products_Data4(),FertiliserProducts[[#Headers],[Company]], 91)</f>
        <v>Cal-Gran Extra K</v>
      </c>
      <c r="F190" s="148" t="str" cm="1">
        <f t="array" ref="F190">Common_InputFunctions.Utility_DisplayArrayInTable(Fertiliser_SourceData.Fertiliser_Products_Data4(),FertiliserProducts[[#Headers],[Company]], 91)</f>
        <v>kg</v>
      </c>
      <c r="G190" s="148" cm="1">
        <f t="array" ref="G190">Common_InputFunctions.Utility_DisplayArrayInTable(Fertiliser_SourceData.Fertiliser_Products_Data4(),FertiliserProducts[[#Headers],[Company]], 91)</f>
        <v>1</v>
      </c>
      <c r="H190" s="148" t="str" cm="1">
        <f t="array" ref="H190">Common_InputFunctions.Utility_DisplayArrayInTable(Fertiliser_SourceData.Fertiliser_Products_Data4(),FertiliserProducts[[#Headers],[Company]], 91)</f>
        <v/>
      </c>
      <c r="I190" s="148" t="str" cm="1">
        <f t="array" ref="I190">Common_InputFunctions.Utility_DisplayArrayInTable(Fertiliser_SourceData.Fertiliser_Products_Data4(),FertiliserProducts[[#Headers],[Company]], 91)</f>
        <v/>
      </c>
      <c r="J190" s="148" t="str" cm="1">
        <f t="array" ref="J190">Common_InputFunctions.Utility_DisplayArrayInTable(Fertiliser_SourceData.Fertiliser_Products_Data4(),FertiliserProducts[[#Headers],[Company]], 91)</f>
        <v/>
      </c>
      <c r="K190" s="148" cm="1">
        <f t="array" ref="K190">Common_InputFunctions.Utility_DisplayArrayInTable(Fertiliser_SourceData.Fertiliser_Products_Data4(),FertiliserProducts[[#Headers],[Company]], 91)</f>
        <v>15.8</v>
      </c>
      <c r="L190" s="148" t="str" cm="1">
        <f t="array" ref="L190">Common_InputFunctions.Utility_DisplayArrayInTable(Fertiliser_SourceData.Fertiliser_Products_Data4(),FertiliserProducts[[#Headers],[Company]], 91)</f>
        <v/>
      </c>
      <c r="M190" s="148" cm="1">
        <f t="array" ref="M190">Common_InputFunctions.Utility_DisplayArrayInTable(Fertiliser_SourceData.Fertiliser_Products_Data4(),FertiliserProducts[[#Headers],[Company]], 91)</f>
        <v>19</v>
      </c>
      <c r="N190" s="148" cm="1">
        <f t="array" ref="N190">Common_InputFunctions.Utility_DisplayArrayInTable(Fertiliser_SourceData.Fertiliser_Products_Data4(),FertiliserProducts[[#Headers],[Company]], 91)</f>
        <v>3.2</v>
      </c>
      <c r="O190" s="148" t="str" cm="1">
        <f t="array" ref="O190">Common_InputFunctions.Utility_DisplayArrayInTable(Fertiliser_SourceData.Fertiliser_Products_Data4(),FertiliserProducts[[#Headers],[Company]], 91)</f>
        <v>Nitrogen - Nitrate</v>
      </c>
      <c r="P190" s="148" cm="1">
        <f t="array" ref="P190">Common_InputFunctions.Utility_DisplayArrayInTable(Fertiliser_SourceData.Fertiliser_Products_Data4(),FertiliserProducts[[#Headers],[Company]], 91)</f>
        <v>4.9000000000000002E-2</v>
      </c>
      <c r="Q190" s="148" t="str" cm="1">
        <f t="array" ref="Q190">Common_InputFunctions.Utility_DisplayArrayInTable(Fertiliser_SourceData.Fertiliser_Products_Data4(),FertiliserProducts[[#Headers],[Company]], 91)</f>
        <v>Nitrogen - Ammoniacal</v>
      </c>
      <c r="R190" s="148" cm="1">
        <f t="array" ref="R190">Common_InputFunctions.Utility_DisplayArrayInTable(Fertiliser_SourceData.Fertiliser_Products_Data4(),FertiliserProducts[[#Headers],[Company]], 91)</f>
        <v>0.109</v>
      </c>
      <c r="S190" s="148" t="str" cm="1">
        <f t="array" ref="S190">Common_InputFunctions.Utility_DisplayArrayInTable(Fertiliser_SourceData.Fertiliser_Products_Data4(),FertiliserProducts[[#Headers],[Company]], 91)</f>
        <v>Potassium - Generic</v>
      </c>
      <c r="T190" s="148" cm="1">
        <f t="array" ref="T190">Common_InputFunctions.Utility_DisplayArrayInTable(Fertiliser_SourceData.Fertiliser_Products_Data4(),FertiliserProducts[[#Headers],[Company]], 91)</f>
        <v>0.19</v>
      </c>
      <c r="U190" s="148" t="str" cm="1">
        <f t="array" ref="U190">Common_InputFunctions.Utility_DisplayArrayInTable(Fertiliser_SourceData.Fertiliser_Products_Data4(),FertiliserProducts[[#Headers],[Company]], 91)</f>
        <v>Sulfur - Generic</v>
      </c>
      <c r="V190" s="148" cm="1">
        <f t="array" ref="V190">Common_InputFunctions.Utility_DisplayArrayInTable(Fertiliser_SourceData.Fertiliser_Products_Data4(),FertiliserProducts[[#Headers],[Company]], 91)</f>
        <v>3.2000000000000001E-2</v>
      </c>
      <c r="W190" s="148" t="str" cm="1">
        <f t="array" ref="W190">Common_InputFunctions.Utility_DisplayArrayInTable(Fertiliser_SourceData.Fertiliser_Products_Data4(),FertiliserProducts[[#Headers],[Company]], 91)</f>
        <v>Calcium</v>
      </c>
      <c r="X190" s="148" cm="1">
        <f t="array" ref="X190">Common_InputFunctions.Utility_DisplayArrayInTable(Fertiliser_SourceData.Fertiliser_Products_Data4(),FertiliserProducts[[#Headers],[Company]], 91)</f>
        <v>3.9E-2</v>
      </c>
      <c r="Y190" s="148" t="str" cm="1">
        <f t="array" ref="Y190">Common_InputFunctions.Utility_DisplayArrayInTable(Fertiliser_SourceData.Fertiliser_Products_Data4(),FertiliserProducts[[#Headers],[Company]], 91)</f>
        <v/>
      </c>
      <c r="Z190" s="148" t="str" cm="1">
        <f t="array" ref="Z190">Common_InputFunctions.Utility_DisplayArrayInTable(Fertiliser_SourceData.Fertiliser_Products_Data4(),FertiliserProducts[[#Headers],[Company]], 91)</f>
        <v/>
      </c>
      <c r="AA190" s="148" t="str" cm="1">
        <f t="array" ref="AA190">Common_InputFunctions.Utility_DisplayArrayInTable(Fertiliser_SourceData.Fertiliser_Products_Data4(),FertiliserProducts[[#Headers],[Company]], 91)</f>
        <v/>
      </c>
      <c r="AB190" s="148" t="str" cm="1">
        <f t="array" ref="AB190">Common_InputFunctions.Utility_DisplayArrayInTable(Fertiliser_SourceData.Fertiliser_Products_Data4(),FertiliserProducts[[#Headers],[Company]], 91)</f>
        <v/>
      </c>
      <c r="AC190" s="148" t="str" cm="1">
        <f t="array" ref="AC190">Common_InputFunctions.Utility_DisplayArrayInTable(Fertiliser_SourceData.Fertiliser_Products_Data4(),FertiliserProducts[[#Headers],[Company]], 91)</f>
        <v/>
      </c>
      <c r="AD190" s="148" t="str" cm="1">
        <f t="array" ref="AD190">Common_InputFunctions.Utility_DisplayArrayInTable(Fertiliser_SourceData.Fertiliser_Products_Data4(),FertiliserProducts[[#Headers],[Company]], 91)</f>
        <v/>
      </c>
      <c r="AE190" s="148" t="str" cm="1">
        <f t="array" ref="AE190">Common_InputFunctions.Utility_DisplayArrayInTable(Fertiliser_SourceData.Fertiliser_Products_Data4(),FertiliserProducts[[#Headers],[Company]], 91)</f>
        <v/>
      </c>
      <c r="AF190" s="148" t="str" cm="1">
        <f t="array" ref="AF190">Common_InputFunctions.Utility_DisplayArrayInTable(Fertiliser_SourceData.Fertiliser_Products_Data4(),FertiliserProducts[[#Headers],[Company]], 91)</f>
        <v/>
      </c>
      <c r="AG190" s="148" t="str" cm="1">
        <f t="array" ref="AG190">Common_InputFunctions.Utility_DisplayArrayInTable(Fertiliser_SourceData.Fertiliser_Products_Data4(),FertiliserProducts[[#Headers],[Company]], 91)</f>
        <v/>
      </c>
      <c r="AH190" s="148" t="str" cm="1">
        <f t="array" ref="AH190">Common_InputFunctions.Utility_DisplayArrayInTable(Fertiliser_SourceData.Fertiliser_Products_Data4(),FertiliserProducts[[#Headers],[Company]], 91)</f>
        <v/>
      </c>
    </row>
    <row r="191" spans="1:37" ht="20.100000000000001" customHeight="1" x14ac:dyDescent="0.2">
      <c r="D191" s="148" t="str" cm="1">
        <f t="array" ref="D191">Common_InputFunctions.Utility_DisplayArrayInTable(Fertiliser_SourceData.Fertiliser_Products_Data4(),FertiliserProducts[[#Headers],[Company]], 91)</f>
        <v>Incitec Pivot Fertilisers</v>
      </c>
      <c r="E191" s="148" t="str" cm="1">
        <f t="array" ref="E191">Common_InputFunctions.Utility_DisplayArrayInTable(Fertiliser_SourceData.Fertiliser_Products_Data4(),FertiliserProducts[[#Headers],[Company]], 91)</f>
        <v>Dairy Pro</v>
      </c>
      <c r="F191" s="148" t="str" cm="1">
        <f t="array" ref="F191">Common_InputFunctions.Utility_DisplayArrayInTable(Fertiliser_SourceData.Fertiliser_Products_Data4(),FertiliserProducts[[#Headers],[Company]], 91)</f>
        <v>kg</v>
      </c>
      <c r="G191" s="148" cm="1">
        <f t="array" ref="G191">Common_InputFunctions.Utility_DisplayArrayInTable(Fertiliser_SourceData.Fertiliser_Products_Data4(),FertiliserProducts[[#Headers],[Company]], 91)</f>
        <v>1</v>
      </c>
      <c r="H191" s="148" t="str" cm="1">
        <f t="array" ref="H191">Common_InputFunctions.Utility_DisplayArrayInTable(Fertiliser_SourceData.Fertiliser_Products_Data4(),FertiliserProducts[[#Headers],[Company]], 91)</f>
        <v/>
      </c>
      <c r="I191" s="148" t="str" cm="1">
        <f t="array" ref="I191">Common_InputFunctions.Utility_DisplayArrayInTable(Fertiliser_SourceData.Fertiliser_Products_Data4(),FertiliserProducts[[#Headers],[Company]], 91)</f>
        <v/>
      </c>
      <c r="J191" s="148" t="str" cm="1">
        <f t="array" ref="J191">Common_InputFunctions.Utility_DisplayArrayInTable(Fertiliser_SourceData.Fertiliser_Products_Data4(),FertiliserProducts[[#Headers],[Company]], 91)</f>
        <v/>
      </c>
      <c r="K191" s="148" cm="1">
        <f t="array" ref="K191">Common_InputFunctions.Utility_DisplayArrayInTable(Fertiliser_SourceData.Fertiliser_Products_Data4(),FertiliserProducts[[#Headers],[Company]], 91)</f>
        <v>25.9</v>
      </c>
      <c r="L191" s="148" cm="1">
        <f t="array" ref="L191">Common_InputFunctions.Utility_DisplayArrayInTable(Fertiliser_SourceData.Fertiliser_Products_Data4(),FertiliserProducts[[#Headers],[Company]], 91)</f>
        <v>3.9</v>
      </c>
      <c r="M191" s="148" cm="1">
        <f t="array" ref="M191">Common_InputFunctions.Utility_DisplayArrayInTable(Fertiliser_SourceData.Fertiliser_Products_Data4(),FertiliserProducts[[#Headers],[Company]], 91)</f>
        <v>15.9</v>
      </c>
      <c r="N191" s="148" cm="1">
        <f t="array" ref="N191">Common_InputFunctions.Utility_DisplayArrayInTable(Fertiliser_SourceData.Fertiliser_Products_Data4(),FertiliserProducts[[#Headers],[Company]], 91)</f>
        <v>0.3</v>
      </c>
      <c r="O191" s="148" t="str" cm="1">
        <f t="array" ref="O191">Common_InputFunctions.Utility_DisplayArrayInTable(Fertiliser_SourceData.Fertiliser_Products_Data4(),FertiliserProducts[[#Headers],[Company]], 91)</f>
        <v>Nitrogen - Generic</v>
      </c>
      <c r="P191" s="148" cm="1">
        <f t="array" ref="P191">Common_InputFunctions.Utility_DisplayArrayInTable(Fertiliser_SourceData.Fertiliser_Products_Data4(),FertiliserProducts[[#Headers],[Company]], 91)</f>
        <v>0.25900000000000001</v>
      </c>
      <c r="Q191" s="148" t="str" cm="1">
        <f t="array" ref="Q191">Common_InputFunctions.Utility_DisplayArrayInTable(Fertiliser_SourceData.Fertiliser_Products_Data4(),FertiliserProducts[[#Headers],[Company]], 91)</f>
        <v>Phosphorus - Generic</v>
      </c>
      <c r="R191" s="148" cm="1">
        <f t="array" ref="R191">Common_InputFunctions.Utility_DisplayArrayInTable(Fertiliser_SourceData.Fertiliser_Products_Data4(),FertiliserProducts[[#Headers],[Company]], 91)</f>
        <v>3.9E-2</v>
      </c>
      <c r="S191" s="148" t="str" cm="1">
        <f t="array" ref="S191">Common_InputFunctions.Utility_DisplayArrayInTable(Fertiliser_SourceData.Fertiliser_Products_Data4(),FertiliserProducts[[#Headers],[Company]], 91)</f>
        <v>Potassium - Generic</v>
      </c>
      <c r="T191" s="148" cm="1">
        <f t="array" ref="T191">Common_InputFunctions.Utility_DisplayArrayInTable(Fertiliser_SourceData.Fertiliser_Products_Data4(),FertiliserProducts[[#Headers],[Company]], 91)</f>
        <v>0.159</v>
      </c>
      <c r="U191" s="148" t="str" cm="1">
        <f t="array" ref="U191">Common_InputFunctions.Utility_DisplayArrayInTable(Fertiliser_SourceData.Fertiliser_Products_Data4(),FertiliserProducts[[#Headers],[Company]], 91)</f>
        <v>Sulfur - Generic</v>
      </c>
      <c r="V191" s="148" cm="1">
        <f t="array" ref="V191">Common_InputFunctions.Utility_DisplayArrayInTable(Fertiliser_SourceData.Fertiliser_Products_Data4(),FertiliserProducts[[#Headers],[Company]], 91)</f>
        <v>3.0000000000000001E-3</v>
      </c>
      <c r="W191" s="148" t="str" cm="1">
        <f t="array" ref="W191">Common_InputFunctions.Utility_DisplayArrayInTable(Fertiliser_SourceData.Fertiliser_Products_Data4(),FertiliserProducts[[#Headers],[Company]], 91)</f>
        <v/>
      </c>
      <c r="X191" s="148" t="str" cm="1">
        <f t="array" ref="X191">Common_InputFunctions.Utility_DisplayArrayInTable(Fertiliser_SourceData.Fertiliser_Products_Data4(),FertiliserProducts[[#Headers],[Company]], 91)</f>
        <v/>
      </c>
      <c r="Y191" s="148" t="str" cm="1">
        <f t="array" ref="Y191">Common_InputFunctions.Utility_DisplayArrayInTable(Fertiliser_SourceData.Fertiliser_Products_Data4(),FertiliserProducts[[#Headers],[Company]], 91)</f>
        <v/>
      </c>
      <c r="Z191" s="148" t="str" cm="1">
        <f t="array" ref="Z191">Common_InputFunctions.Utility_DisplayArrayInTable(Fertiliser_SourceData.Fertiliser_Products_Data4(),FertiliserProducts[[#Headers],[Company]], 91)</f>
        <v/>
      </c>
      <c r="AA191" s="148" t="str" cm="1">
        <f t="array" ref="AA191">Common_InputFunctions.Utility_DisplayArrayInTable(Fertiliser_SourceData.Fertiliser_Products_Data4(),FertiliserProducts[[#Headers],[Company]], 91)</f>
        <v/>
      </c>
      <c r="AB191" s="148" t="str" cm="1">
        <f t="array" ref="AB191">Common_InputFunctions.Utility_DisplayArrayInTable(Fertiliser_SourceData.Fertiliser_Products_Data4(),FertiliserProducts[[#Headers],[Company]], 91)</f>
        <v/>
      </c>
      <c r="AC191" s="148" t="str" cm="1">
        <f t="array" ref="AC191">Common_InputFunctions.Utility_DisplayArrayInTable(Fertiliser_SourceData.Fertiliser_Products_Data4(),FertiliserProducts[[#Headers],[Company]], 91)</f>
        <v/>
      </c>
      <c r="AD191" s="148" t="str" cm="1">
        <f t="array" ref="AD191">Common_InputFunctions.Utility_DisplayArrayInTable(Fertiliser_SourceData.Fertiliser_Products_Data4(),FertiliserProducts[[#Headers],[Company]], 91)</f>
        <v/>
      </c>
      <c r="AE191" s="148" t="str" cm="1">
        <f t="array" ref="AE191">Common_InputFunctions.Utility_DisplayArrayInTable(Fertiliser_SourceData.Fertiliser_Products_Data4(),FertiliserProducts[[#Headers],[Company]], 91)</f>
        <v/>
      </c>
      <c r="AF191" s="148" t="str" cm="1">
        <f t="array" ref="AF191">Common_InputFunctions.Utility_DisplayArrayInTable(Fertiliser_SourceData.Fertiliser_Products_Data4(),FertiliserProducts[[#Headers],[Company]], 91)</f>
        <v/>
      </c>
      <c r="AG191" s="148" t="str" cm="1">
        <f t="array" ref="AG191">Common_InputFunctions.Utility_DisplayArrayInTable(Fertiliser_SourceData.Fertiliser_Products_Data4(),FertiliserProducts[[#Headers],[Company]], 91)</f>
        <v/>
      </c>
      <c r="AH191" s="148" t="str" cm="1">
        <f t="array" ref="AH191">Common_InputFunctions.Utility_DisplayArrayInTable(Fertiliser_SourceData.Fertiliser_Products_Data4(),FertiliserProducts[[#Headers],[Company]], 91)</f>
        <v/>
      </c>
    </row>
    <row r="192" spans="1:37" ht="20.100000000000001" customHeight="1" x14ac:dyDescent="0.2">
      <c r="D192" s="148" t="str" cm="1">
        <f t="array" ref="D192">Common_InputFunctions.Utility_DisplayArrayInTable(Fertiliser_SourceData.Fertiliser_Products_Data4(),FertiliserProducts[[#Headers],[Company]], 91)</f>
        <v>Yara Australia</v>
      </c>
      <c r="E192" s="148" t="str" cm="1">
        <f t="array" ref="E192">Common_InputFunctions.Utility_DisplayArrayInTable(Fertiliser_SourceData.Fertiliser_Products_Data4(),FertiliserProducts[[#Headers],[Company]], 91)</f>
        <v>YaraMila ACTYVA S</v>
      </c>
      <c r="F192" s="148" t="str" cm="1">
        <f t="array" ref="F192">Common_InputFunctions.Utility_DisplayArrayInTable(Fertiliser_SourceData.Fertiliser_Products_Data4(),FertiliserProducts[[#Headers],[Company]], 91)</f>
        <v>kg</v>
      </c>
      <c r="G192" s="148" cm="1">
        <f t="array" ref="G192">Common_InputFunctions.Utility_DisplayArrayInTable(Fertiliser_SourceData.Fertiliser_Products_Data4(),FertiliserProducts[[#Headers],[Company]], 91)</f>
        <v>1</v>
      </c>
      <c r="H192" s="148" t="str" cm="1">
        <f t="array" ref="H192">Common_InputFunctions.Utility_DisplayArrayInTable(Fertiliser_SourceData.Fertiliser_Products_Data4(),FertiliserProducts[[#Headers],[Company]], 91)</f>
        <v/>
      </c>
      <c r="I192" s="148" t="str" cm="1">
        <f t="array" ref="I192">Common_InputFunctions.Utility_DisplayArrayInTable(Fertiliser_SourceData.Fertiliser_Products_Data4(),FertiliserProducts[[#Headers],[Company]], 91)</f>
        <v/>
      </c>
      <c r="J192" s="148" t="str" cm="1">
        <f t="array" ref="J192">Common_InputFunctions.Utility_DisplayArrayInTable(Fertiliser_SourceData.Fertiliser_Products_Data4(),FertiliserProducts[[#Headers],[Company]], 91)</f>
        <v/>
      </c>
      <c r="K192" s="148" cm="1">
        <f t="array" ref="K192">Common_InputFunctions.Utility_DisplayArrayInTable(Fertiliser_SourceData.Fertiliser_Products_Data4(),FertiliserProducts[[#Headers],[Company]], 91)</f>
        <v>15.6</v>
      </c>
      <c r="L192" s="148" cm="1">
        <f t="array" ref="L192">Common_InputFunctions.Utility_DisplayArrayInTable(Fertiliser_SourceData.Fertiliser_Products_Data4(),FertiliserProducts[[#Headers],[Company]], 91)</f>
        <v>6.37</v>
      </c>
      <c r="M192" s="148" cm="1">
        <f t="array" ref="M192">Common_InputFunctions.Utility_DisplayArrayInTable(Fertiliser_SourceData.Fertiliser_Products_Data4(),FertiliserProducts[[#Headers],[Company]], 91)</f>
        <v>12.45</v>
      </c>
      <c r="N192" s="148" cm="1">
        <f t="array" ref="N192">Common_InputFunctions.Utility_DisplayArrayInTable(Fertiliser_SourceData.Fertiliser_Products_Data4(),FertiliserProducts[[#Headers],[Company]], 91)</f>
        <v>2.6</v>
      </c>
      <c r="O192" s="148" t="str" cm="1">
        <f t="array" ref="O192">Common_InputFunctions.Utility_DisplayArrayInTable(Fertiliser_SourceData.Fertiliser_Products_Data4(),FertiliserProducts[[#Headers],[Company]], 91)</f>
        <v>Nitrogen - Nitrate</v>
      </c>
      <c r="P192" s="148" cm="1">
        <f t="array" ref="P192">Common_InputFunctions.Utility_DisplayArrayInTable(Fertiliser_SourceData.Fertiliser_Products_Data4(),FertiliserProducts[[#Headers],[Company]], 91)</f>
        <v>5.8000000000000003E-2</v>
      </c>
      <c r="Q192" s="148" t="str" cm="1">
        <f t="array" ref="Q192">Common_InputFunctions.Utility_DisplayArrayInTable(Fertiliser_SourceData.Fertiliser_Products_Data4(),FertiliserProducts[[#Headers],[Company]], 91)</f>
        <v>Nitrogen - Ammoniacal</v>
      </c>
      <c r="R192" s="148" cm="1">
        <f t="array" ref="R192">Common_InputFunctions.Utility_DisplayArrayInTable(Fertiliser_SourceData.Fertiliser_Products_Data4(),FertiliserProducts[[#Headers],[Company]], 91)</f>
        <v>9.8000000000000004E-2</v>
      </c>
      <c r="S192" s="148" t="str" cm="1">
        <f t="array" ref="S192">Common_InputFunctions.Utility_DisplayArrayInTable(Fertiliser_SourceData.Fertiliser_Products_Data4(),FertiliserProducts[[#Headers],[Company]], 91)</f>
        <v>Phosphorus - Generic</v>
      </c>
      <c r="T192" s="148" cm="1">
        <f t="array" ref="T192">Common_InputFunctions.Utility_DisplayArrayInTable(Fertiliser_SourceData.Fertiliser_Products_Data4(),FertiliserProducts[[#Headers],[Company]], 91)</f>
        <v>6.3714000000000007E-2</v>
      </c>
      <c r="U192" s="148" t="str" cm="1">
        <f t="array" ref="U192">Common_InputFunctions.Utility_DisplayArrayInTable(Fertiliser_SourceData.Fertiliser_Products_Data4(),FertiliserProducts[[#Headers],[Company]], 91)</f>
        <v>Potassium - Generic</v>
      </c>
      <c r="V192" s="148" cm="1">
        <f t="array" ref="V192">Common_InputFunctions.Utility_DisplayArrayInTable(Fertiliser_SourceData.Fertiliser_Products_Data4(),FertiliserProducts[[#Headers],[Company]], 91)</f>
        <v>0.124515</v>
      </c>
      <c r="W192" s="148" t="str" cm="1">
        <f t="array" ref="W192">Common_InputFunctions.Utility_DisplayArrayInTable(Fertiliser_SourceData.Fertiliser_Products_Data4(),FertiliserProducts[[#Headers],[Company]], 91)</f>
        <v>Sulfur - Generic</v>
      </c>
      <c r="X192" s="148" cm="1">
        <f t="array" ref="X192">Common_InputFunctions.Utility_DisplayArrayInTable(Fertiliser_SourceData.Fertiliser_Products_Data4(),FertiliserProducts[[#Headers],[Company]], 91)</f>
        <v>2.5999999999999999E-2</v>
      </c>
      <c r="Y192" s="148" t="str" cm="1">
        <f t="array" ref="Y192">Common_InputFunctions.Utility_DisplayArrayInTable(Fertiliser_SourceData.Fertiliser_Products_Data4(),FertiliserProducts[[#Headers],[Company]], 91)</f>
        <v/>
      </c>
      <c r="Z192" s="148" t="str" cm="1">
        <f t="array" ref="Z192">Common_InputFunctions.Utility_DisplayArrayInTable(Fertiliser_SourceData.Fertiliser_Products_Data4(),FertiliserProducts[[#Headers],[Company]], 91)</f>
        <v/>
      </c>
      <c r="AA192" s="148" t="str" cm="1">
        <f t="array" ref="AA192">Common_InputFunctions.Utility_DisplayArrayInTable(Fertiliser_SourceData.Fertiliser_Products_Data4(),FertiliserProducts[[#Headers],[Company]], 91)</f>
        <v/>
      </c>
      <c r="AB192" s="148" t="str" cm="1">
        <f t="array" ref="AB192">Common_InputFunctions.Utility_DisplayArrayInTable(Fertiliser_SourceData.Fertiliser_Products_Data4(),FertiliserProducts[[#Headers],[Company]], 91)</f>
        <v/>
      </c>
      <c r="AC192" s="148" t="str" cm="1">
        <f t="array" ref="AC192">Common_InputFunctions.Utility_DisplayArrayInTable(Fertiliser_SourceData.Fertiliser_Products_Data4(),FertiliserProducts[[#Headers],[Company]], 91)</f>
        <v/>
      </c>
      <c r="AD192" s="148" t="str" cm="1">
        <f t="array" ref="AD192">Common_InputFunctions.Utility_DisplayArrayInTable(Fertiliser_SourceData.Fertiliser_Products_Data4(),FertiliserProducts[[#Headers],[Company]], 91)</f>
        <v/>
      </c>
      <c r="AE192" s="148" t="str" cm="1">
        <f t="array" ref="AE192">Common_InputFunctions.Utility_DisplayArrayInTable(Fertiliser_SourceData.Fertiliser_Products_Data4(),FertiliserProducts[[#Headers],[Company]], 91)</f>
        <v/>
      </c>
      <c r="AF192" s="148" t="str" cm="1">
        <f t="array" ref="AF192">Common_InputFunctions.Utility_DisplayArrayInTable(Fertiliser_SourceData.Fertiliser_Products_Data4(),FertiliserProducts[[#Headers],[Company]], 91)</f>
        <v/>
      </c>
      <c r="AG192" s="148" t="str" cm="1">
        <f t="array" ref="AG192">Common_InputFunctions.Utility_DisplayArrayInTable(Fertiliser_SourceData.Fertiliser_Products_Data4(),FertiliserProducts[[#Headers],[Company]], 91)</f>
        <v/>
      </c>
      <c r="AH192" s="148" t="str" cm="1">
        <f t="array" ref="AH192">Common_InputFunctions.Utility_DisplayArrayInTable(Fertiliser_SourceData.Fertiliser_Products_Data4(),FertiliserProducts[[#Headers],[Company]], 91)</f>
        <v/>
      </c>
    </row>
    <row r="193" spans="4:34" ht="20.100000000000001" customHeight="1" x14ac:dyDescent="0.2">
      <c r="D193" s="148" t="str" cm="1">
        <f t="array" ref="D193">Common_InputFunctions.Utility_DisplayArrayInTable(Fertiliser_SourceData.Fertiliser_Products_Data4(),FertiliserProducts[[#Headers],[Company]], 91)</f>
        <v>CSBP</v>
      </c>
      <c r="E193" s="148" t="str" cm="1">
        <f t="array" ref="E193">Common_InputFunctions.Utility_DisplayArrayInTable(Fertiliser_SourceData.Fertiliser_Products_Data4(),FertiliserProducts[[#Headers],[Company]], 91)</f>
        <v>Agflow Extra</v>
      </c>
      <c r="F193" s="148" t="str" cm="1">
        <f t="array" ref="F193">Common_InputFunctions.Utility_DisplayArrayInTable(Fertiliser_SourceData.Fertiliser_Products_Data4(),FertiliserProducts[[#Headers],[Company]], 91)</f>
        <v>kg</v>
      </c>
      <c r="G193" s="148" cm="1">
        <f t="array" ref="G193">Common_InputFunctions.Utility_DisplayArrayInTable(Fertiliser_SourceData.Fertiliser_Products_Data4(),FertiliserProducts[[#Headers],[Company]], 91)</f>
        <v>1</v>
      </c>
      <c r="H193" s="148" t="str" cm="1">
        <f t="array" ref="H193">Common_InputFunctions.Utility_DisplayArrayInTable(Fertiliser_SourceData.Fertiliser_Products_Data4(),FertiliserProducts[[#Headers],[Company]], 91)</f>
        <v/>
      </c>
      <c r="I193" s="148" t="str" cm="1">
        <f t="array" ref="I193">Common_InputFunctions.Utility_DisplayArrayInTable(Fertiliser_SourceData.Fertiliser_Products_Data4(),FertiliserProducts[[#Headers],[Company]], 91)</f>
        <v/>
      </c>
      <c r="J193" s="148" t="str" cm="1">
        <f t="array" ref="J193">Common_InputFunctions.Utility_DisplayArrayInTable(Fertiliser_SourceData.Fertiliser_Products_Data4(),FertiliserProducts[[#Headers],[Company]], 91)</f>
        <v/>
      </c>
      <c r="K193" s="148" cm="1">
        <f t="array" ref="K193">Common_InputFunctions.Utility_DisplayArrayInTable(Fertiliser_SourceData.Fertiliser_Products_Data4(),FertiliserProducts[[#Headers],[Company]], 91)</f>
        <v>11.15</v>
      </c>
      <c r="L193" s="148" cm="1">
        <f t="array" ref="L193">Common_InputFunctions.Utility_DisplayArrayInTable(Fertiliser_SourceData.Fertiliser_Products_Data4(),FertiliserProducts[[#Headers],[Company]], 91)</f>
        <v>17.52</v>
      </c>
      <c r="M193" s="148" t="str" cm="1">
        <f t="array" ref="M193">Common_InputFunctions.Utility_DisplayArrayInTable(Fertiliser_SourceData.Fertiliser_Products_Data4(),FertiliserProducts[[#Headers],[Company]], 91)</f>
        <v/>
      </c>
      <c r="N193" s="148" cm="1">
        <f t="array" ref="N193">Common_InputFunctions.Utility_DisplayArrayInTable(Fertiliser_SourceData.Fertiliser_Products_Data4(),FertiliserProducts[[#Headers],[Company]], 91)</f>
        <v>3.6</v>
      </c>
      <c r="O193" s="148" t="str" cm="1">
        <f t="array" ref="O193">Common_InputFunctions.Utility_DisplayArrayInTable(Fertiliser_SourceData.Fertiliser_Products_Data4(),FertiliserProducts[[#Headers],[Company]], 91)</f>
        <v>Monoammonium phosphate (MAP)</v>
      </c>
      <c r="P193" s="148" cm="1">
        <f t="array" ref="P193">Common_InputFunctions.Utility_DisplayArrayInTable(Fertiliser_SourceData.Fertiliser_Products_Data4(),FertiliserProducts[[#Headers],[Company]], 91)</f>
        <v>0.8</v>
      </c>
      <c r="Q193" s="148" t="str" cm="1">
        <f t="array" ref="Q193">Common_InputFunctions.Utility_DisplayArrayInTable(Fertiliser_SourceData.Fertiliser_Products_Data4(),FertiliserProducts[[#Headers],[Company]], 91)</f>
        <v>Sulphate of ammonia (SOA)</v>
      </c>
      <c r="R193" s="148" cm="1">
        <f t="array" ref="R193">Common_InputFunctions.Utility_DisplayArrayInTable(Fertiliser_SourceData.Fertiliser_Products_Data4(),FertiliserProducts[[#Headers],[Company]], 91)</f>
        <v>0.15</v>
      </c>
      <c r="S193" s="148" t="str" cm="1">
        <f t="array" ref="S193">Common_InputFunctions.Utility_DisplayArrayInTable(Fertiliser_SourceData.Fertiliser_Products_Data4(),FertiliserProducts[[#Headers],[Company]], 91)</f>
        <v>Copper</v>
      </c>
      <c r="T193" s="148" t="str" cm="1">
        <f t="array" ref="T193">Common_InputFunctions.Utility_DisplayArrayInTable(Fertiliser_SourceData.Fertiliser_Products_Data4(),FertiliserProducts[[#Headers],[Company]], 91)</f>
        <v>No data</v>
      </c>
      <c r="U193" s="148" t="str" cm="1">
        <f t="array" ref="U193">Common_InputFunctions.Utility_DisplayArrayInTable(Fertiliser_SourceData.Fertiliser_Products_Data4(),FertiliserProducts[[#Headers],[Company]], 91)</f>
        <v>Molybdenum</v>
      </c>
      <c r="V193" s="148" t="str" cm="1">
        <f t="array" ref="V193">Common_InputFunctions.Utility_DisplayArrayInTable(Fertiliser_SourceData.Fertiliser_Products_Data4(),FertiliserProducts[[#Headers],[Company]], 91)</f>
        <v>No data</v>
      </c>
      <c r="W193" s="148" t="str" cm="1">
        <f t="array" ref="W193">Common_InputFunctions.Utility_DisplayArrayInTable(Fertiliser_SourceData.Fertiliser_Products_Data4(),FertiliserProducts[[#Headers],[Company]], 91)</f>
        <v>Zinc</v>
      </c>
      <c r="X193" s="148" t="str" cm="1">
        <f t="array" ref="X193">Common_InputFunctions.Utility_DisplayArrayInTable(Fertiliser_SourceData.Fertiliser_Products_Data4(),FertiliserProducts[[#Headers],[Company]], 91)</f>
        <v>No data</v>
      </c>
      <c r="Y193" s="148" t="str" cm="1">
        <f t="array" ref="Y193">Common_InputFunctions.Utility_DisplayArrayInTable(Fertiliser_SourceData.Fertiliser_Products_Data4(),FertiliserProducts[[#Headers],[Company]], 91)</f>
        <v/>
      </c>
      <c r="Z193" s="148" t="str" cm="1">
        <f t="array" ref="Z193">Common_InputFunctions.Utility_DisplayArrayInTable(Fertiliser_SourceData.Fertiliser_Products_Data4(),FertiliserProducts[[#Headers],[Company]], 91)</f>
        <v/>
      </c>
      <c r="AA193" s="148" t="str" cm="1">
        <f t="array" ref="AA193">Common_InputFunctions.Utility_DisplayArrayInTable(Fertiliser_SourceData.Fertiliser_Products_Data4(),FertiliserProducts[[#Headers],[Company]], 91)</f>
        <v/>
      </c>
      <c r="AB193" s="148" t="str" cm="1">
        <f t="array" ref="AB193">Common_InputFunctions.Utility_DisplayArrayInTable(Fertiliser_SourceData.Fertiliser_Products_Data4(),FertiliserProducts[[#Headers],[Company]], 91)</f>
        <v/>
      </c>
      <c r="AC193" s="148" t="str" cm="1">
        <f t="array" ref="AC193">Common_InputFunctions.Utility_DisplayArrayInTable(Fertiliser_SourceData.Fertiliser_Products_Data4(),FertiliserProducts[[#Headers],[Company]], 91)</f>
        <v/>
      </c>
      <c r="AD193" s="148" t="str" cm="1">
        <f t="array" ref="AD193">Common_InputFunctions.Utility_DisplayArrayInTable(Fertiliser_SourceData.Fertiliser_Products_Data4(),FertiliserProducts[[#Headers],[Company]], 91)</f>
        <v/>
      </c>
      <c r="AE193" s="148" t="str" cm="1">
        <f t="array" ref="AE193">Common_InputFunctions.Utility_DisplayArrayInTable(Fertiliser_SourceData.Fertiliser_Products_Data4(),FertiliserProducts[[#Headers],[Company]], 91)</f>
        <v/>
      </c>
      <c r="AF193" s="148" t="str" cm="1">
        <f t="array" ref="AF193">Common_InputFunctions.Utility_DisplayArrayInTable(Fertiliser_SourceData.Fertiliser_Products_Data4(),FertiliserProducts[[#Headers],[Company]], 91)</f>
        <v/>
      </c>
      <c r="AG193" s="148" t="str" cm="1">
        <f t="array" ref="AG193">Common_InputFunctions.Utility_DisplayArrayInTable(Fertiliser_SourceData.Fertiliser_Products_Data4(),FertiliserProducts[[#Headers],[Company]], 91)</f>
        <v/>
      </c>
      <c r="AH193" s="148" t="str" cm="1">
        <f t="array" ref="AH193">Common_InputFunctions.Utility_DisplayArrayInTable(Fertiliser_SourceData.Fertiliser_Products_Data4(),FertiliserProducts[[#Headers],[Company]], 91)</f>
        <v/>
      </c>
    </row>
    <row r="194" spans="4:34" ht="20.100000000000001" customHeight="1" x14ac:dyDescent="0.2">
      <c r="D194" s="148" t="str" cm="1">
        <f t="array" ref="D194">Common_InputFunctions.Utility_DisplayArrayInTable(Fertiliser_SourceData.Fertiliser_Products_Data4(),FertiliserProducts[[#Headers],[Company]], 91)</f>
        <v>CSBP</v>
      </c>
      <c r="E194" s="148" t="str" cm="1">
        <f t="array" ref="E194">Common_InputFunctions.Utility_DisplayArrayInTable(Fertiliser_SourceData.Fertiliser_Products_Data4(),FertiliserProducts[[#Headers],[Company]], 91)</f>
        <v>Super &amp; Potash 3:1</v>
      </c>
      <c r="F194" s="148" t="str" cm="1">
        <f t="array" ref="F194">Common_InputFunctions.Utility_DisplayArrayInTable(Fertiliser_SourceData.Fertiliser_Products_Data4(),FertiliserProducts[[#Headers],[Company]], 91)</f>
        <v>kg</v>
      </c>
      <c r="G194" s="148" cm="1">
        <f t="array" ref="G194">Common_InputFunctions.Utility_DisplayArrayInTable(Fertiliser_SourceData.Fertiliser_Products_Data4(),FertiliserProducts[[#Headers],[Company]], 91)</f>
        <v>1</v>
      </c>
      <c r="H194" s="148" t="str" cm="1">
        <f t="array" ref="H194">Common_InputFunctions.Utility_DisplayArrayInTable(Fertiliser_SourceData.Fertiliser_Products_Data4(),FertiliserProducts[[#Headers],[Company]], 91)</f>
        <v/>
      </c>
      <c r="I194" s="148" t="str" cm="1">
        <f t="array" ref="I194">Common_InputFunctions.Utility_DisplayArrayInTable(Fertiliser_SourceData.Fertiliser_Products_Data4(),FertiliserProducts[[#Headers],[Company]], 91)</f>
        <v/>
      </c>
      <c r="J194" s="148" t="str" cm="1">
        <f t="array" ref="J194">Common_InputFunctions.Utility_DisplayArrayInTable(Fertiliser_SourceData.Fertiliser_Products_Data4(),FertiliserProducts[[#Headers],[Company]], 91)</f>
        <v/>
      </c>
      <c r="K194" s="148" t="str" cm="1">
        <f t="array" ref="K194">Common_InputFunctions.Utility_DisplayArrayInTable(Fertiliser_SourceData.Fertiliser_Products_Data4(),FertiliserProducts[[#Headers],[Company]], 91)</f>
        <v/>
      </c>
      <c r="L194" s="148" cm="1">
        <f t="array" ref="L194">Common_InputFunctions.Utility_DisplayArrayInTable(Fertiliser_SourceData.Fertiliser_Products_Data4(),FertiliserProducts[[#Headers],[Company]], 91)</f>
        <v>5.5</v>
      </c>
      <c r="M194" s="148" cm="1">
        <f t="array" ref="M194">Common_InputFunctions.Utility_DisplayArrayInTable(Fertiliser_SourceData.Fertiliser_Products_Data4(),FertiliserProducts[[#Headers],[Company]], 91)</f>
        <v>15</v>
      </c>
      <c r="N194" s="148" cm="1">
        <f t="array" ref="N194">Common_InputFunctions.Utility_DisplayArrayInTable(Fertiliser_SourceData.Fertiliser_Products_Data4(),FertiliserProducts[[#Headers],[Company]], 91)</f>
        <v>6.88</v>
      </c>
      <c r="O194" s="148" t="str" cm="1">
        <f t="array" ref="O194">Common_InputFunctions.Utility_DisplayArrayInTable(Fertiliser_SourceData.Fertiliser_Products_Data4(),FertiliserProducts[[#Headers],[Company]], 91)</f>
        <v>Single superphosphate (SSP)</v>
      </c>
      <c r="P194" s="148" cm="1">
        <f t="array" ref="P194">Common_InputFunctions.Utility_DisplayArrayInTable(Fertiliser_SourceData.Fertiliser_Products_Data4(),FertiliserProducts[[#Headers],[Company]], 91)</f>
        <v>0.625</v>
      </c>
      <c r="Q194" s="148" t="str" cm="1">
        <f t="array" ref="Q194">Common_InputFunctions.Utility_DisplayArrayInTable(Fertiliser_SourceData.Fertiliser_Products_Data4(),FertiliserProducts[[#Headers],[Company]], 91)</f>
        <v>Muriate of potash (MOP)</v>
      </c>
      <c r="R194" s="148" cm="1">
        <f t="array" ref="R194">Common_InputFunctions.Utility_DisplayArrayInTable(Fertiliser_SourceData.Fertiliser_Products_Data4(),FertiliserProducts[[#Headers],[Company]], 91)</f>
        <v>0.3</v>
      </c>
      <c r="S194" s="148" t="str" cm="1">
        <f t="array" ref="S194">Common_InputFunctions.Utility_DisplayArrayInTable(Fertiliser_SourceData.Fertiliser_Products_Data4(),FertiliserProducts[[#Headers],[Company]], 91)</f>
        <v/>
      </c>
      <c r="T194" s="148" t="str" cm="1">
        <f t="array" ref="T194">Common_InputFunctions.Utility_DisplayArrayInTable(Fertiliser_SourceData.Fertiliser_Products_Data4(),FertiliserProducts[[#Headers],[Company]], 91)</f>
        <v/>
      </c>
      <c r="U194" s="148" t="str" cm="1">
        <f t="array" ref="U194">Common_InputFunctions.Utility_DisplayArrayInTable(Fertiliser_SourceData.Fertiliser_Products_Data4(),FertiliserProducts[[#Headers],[Company]], 91)</f>
        <v/>
      </c>
      <c r="V194" s="148" t="str" cm="1">
        <f t="array" ref="V194">Common_InputFunctions.Utility_DisplayArrayInTable(Fertiliser_SourceData.Fertiliser_Products_Data4(),FertiliserProducts[[#Headers],[Company]], 91)</f>
        <v/>
      </c>
      <c r="W194" s="148" t="str" cm="1">
        <f t="array" ref="W194">Common_InputFunctions.Utility_DisplayArrayInTable(Fertiliser_SourceData.Fertiliser_Products_Data4(),FertiliserProducts[[#Headers],[Company]], 91)</f>
        <v/>
      </c>
      <c r="X194" s="148" t="str" cm="1">
        <f t="array" ref="X194">Common_InputFunctions.Utility_DisplayArrayInTable(Fertiliser_SourceData.Fertiliser_Products_Data4(),FertiliserProducts[[#Headers],[Company]], 91)</f>
        <v/>
      </c>
      <c r="Y194" s="148" t="str" cm="1">
        <f t="array" ref="Y194">Common_InputFunctions.Utility_DisplayArrayInTable(Fertiliser_SourceData.Fertiliser_Products_Data4(),FertiliserProducts[[#Headers],[Company]], 91)</f>
        <v/>
      </c>
      <c r="Z194" s="148" t="str" cm="1">
        <f t="array" ref="Z194">Common_InputFunctions.Utility_DisplayArrayInTable(Fertiliser_SourceData.Fertiliser_Products_Data4(),FertiliserProducts[[#Headers],[Company]], 91)</f>
        <v/>
      </c>
      <c r="AA194" s="148" t="str" cm="1">
        <f t="array" ref="AA194">Common_InputFunctions.Utility_DisplayArrayInTable(Fertiliser_SourceData.Fertiliser_Products_Data4(),FertiliserProducts[[#Headers],[Company]], 91)</f>
        <v/>
      </c>
      <c r="AB194" s="148" t="str" cm="1">
        <f t="array" ref="AB194">Common_InputFunctions.Utility_DisplayArrayInTable(Fertiliser_SourceData.Fertiliser_Products_Data4(),FertiliserProducts[[#Headers],[Company]], 91)</f>
        <v/>
      </c>
      <c r="AC194" s="148" t="str" cm="1">
        <f t="array" ref="AC194">Common_InputFunctions.Utility_DisplayArrayInTable(Fertiliser_SourceData.Fertiliser_Products_Data4(),FertiliserProducts[[#Headers],[Company]], 91)</f>
        <v/>
      </c>
      <c r="AD194" s="148" t="str" cm="1">
        <f t="array" ref="AD194">Common_InputFunctions.Utility_DisplayArrayInTable(Fertiliser_SourceData.Fertiliser_Products_Data4(),FertiliserProducts[[#Headers],[Company]], 91)</f>
        <v/>
      </c>
      <c r="AE194" s="148" t="str" cm="1">
        <f t="array" ref="AE194">Common_InputFunctions.Utility_DisplayArrayInTable(Fertiliser_SourceData.Fertiliser_Products_Data4(),FertiliserProducts[[#Headers],[Company]], 91)</f>
        <v/>
      </c>
      <c r="AF194" s="148" t="str" cm="1">
        <f t="array" ref="AF194">Common_InputFunctions.Utility_DisplayArrayInTable(Fertiliser_SourceData.Fertiliser_Products_Data4(),FertiliserProducts[[#Headers],[Company]], 91)</f>
        <v/>
      </c>
      <c r="AG194" s="148" t="str" cm="1">
        <f t="array" ref="AG194">Common_InputFunctions.Utility_DisplayArrayInTable(Fertiliser_SourceData.Fertiliser_Products_Data4(),FertiliserProducts[[#Headers],[Company]], 91)</f>
        <v/>
      </c>
      <c r="AH194" s="148" t="str" cm="1">
        <f t="array" ref="AH194">Common_InputFunctions.Utility_DisplayArrayInTable(Fertiliser_SourceData.Fertiliser_Products_Data4(),FertiliserProducts[[#Headers],[Company]], 91)</f>
        <v/>
      </c>
    </row>
    <row r="195" spans="4:34" ht="20.100000000000001" customHeight="1" x14ac:dyDescent="0.2">
      <c r="D195" s="148" t="str" cm="1">
        <f t="array" ref="D195">Common_InputFunctions.Utility_DisplayArrayInTable(Fertiliser_SourceData.Fertiliser_Products_Data4(),FertiliserProducts[[#Headers],[Company]], 91)</f>
        <v>Yara</v>
      </c>
      <c r="E195" s="148" t="str" cm="1">
        <f t="array" ref="E195">Common_InputFunctions.Utility_DisplayArrayInTable(Fertiliser_SourceData.Fertiliser_Products_Data4(),FertiliserProducts[[#Headers],[Company]], 91)</f>
        <v>YaraBela CAN-27</v>
      </c>
      <c r="F195" s="148" t="str" cm="1">
        <f t="array" ref="F195">Common_InputFunctions.Utility_DisplayArrayInTable(Fertiliser_SourceData.Fertiliser_Products_Data4(),FertiliserProducts[[#Headers],[Company]], 91)</f>
        <v>kg</v>
      </c>
      <c r="G195" s="148" cm="1">
        <f t="array" ref="G195">Common_InputFunctions.Utility_DisplayArrayInTable(Fertiliser_SourceData.Fertiliser_Products_Data4(),FertiliserProducts[[#Headers],[Company]], 91)</f>
        <v>1</v>
      </c>
      <c r="H195" s="148" t="str" cm="1">
        <f t="array" ref="H195">Common_InputFunctions.Utility_DisplayArrayInTable(Fertiliser_SourceData.Fertiliser_Products_Data4(),FertiliserProducts[[#Headers],[Company]], 91)</f>
        <v/>
      </c>
      <c r="I195" s="148" t="str" cm="1">
        <f t="array" ref="I195">Common_InputFunctions.Utility_DisplayArrayInTable(Fertiliser_SourceData.Fertiliser_Products_Data4(),FertiliserProducts[[#Headers],[Company]], 91)</f>
        <v/>
      </c>
      <c r="J195" s="148" t="str" cm="1">
        <f t="array" ref="J195">Common_InputFunctions.Utility_DisplayArrayInTable(Fertiliser_SourceData.Fertiliser_Products_Data4(),FertiliserProducts[[#Headers],[Company]], 91)</f>
        <v/>
      </c>
      <c r="K195" s="148" cm="1">
        <f t="array" ref="K195">Common_InputFunctions.Utility_DisplayArrayInTable(Fertiliser_SourceData.Fertiliser_Products_Data4(),FertiliserProducts[[#Headers],[Company]], 91)</f>
        <v>27</v>
      </c>
      <c r="L195" s="148" t="str" cm="1">
        <f t="array" ref="L195">Common_InputFunctions.Utility_DisplayArrayInTable(Fertiliser_SourceData.Fertiliser_Products_Data4(),FertiliserProducts[[#Headers],[Company]], 91)</f>
        <v/>
      </c>
      <c r="M195" s="148" t="str" cm="1">
        <f t="array" ref="M195">Common_InputFunctions.Utility_DisplayArrayInTable(Fertiliser_SourceData.Fertiliser_Products_Data4(),FertiliserProducts[[#Headers],[Company]], 91)</f>
        <v/>
      </c>
      <c r="N195" s="148" t="str" cm="1">
        <f t="array" ref="N195">Common_InputFunctions.Utility_DisplayArrayInTable(Fertiliser_SourceData.Fertiliser_Products_Data4(),FertiliserProducts[[#Headers],[Company]], 91)</f>
        <v/>
      </c>
      <c r="O195" s="148" t="str" cm="1">
        <f t="array" ref="O195">Common_InputFunctions.Utility_DisplayArrayInTable(Fertiliser_SourceData.Fertiliser_Products_Data4(),FertiliserProducts[[#Headers],[Company]], 91)</f>
        <v>Calcium ammonium nitrate (CAN)</v>
      </c>
      <c r="P195" s="148" cm="1">
        <f t="array" ref="P195">Common_InputFunctions.Utility_DisplayArrayInTable(Fertiliser_SourceData.Fertiliser_Products_Data4(),FertiliserProducts[[#Headers],[Company]], 91)</f>
        <v>1</v>
      </c>
      <c r="Q195" s="148" t="str" cm="1">
        <f t="array" ref="Q195">Common_InputFunctions.Utility_DisplayArrayInTable(Fertiliser_SourceData.Fertiliser_Products_Data4(),FertiliserProducts[[#Headers],[Company]], 91)</f>
        <v/>
      </c>
      <c r="R195" s="148" t="str" cm="1">
        <f t="array" ref="R195">Common_InputFunctions.Utility_DisplayArrayInTable(Fertiliser_SourceData.Fertiliser_Products_Data4(),FertiliserProducts[[#Headers],[Company]], 91)</f>
        <v/>
      </c>
      <c r="S195" s="148" t="str" cm="1">
        <f t="array" ref="S195">Common_InputFunctions.Utility_DisplayArrayInTable(Fertiliser_SourceData.Fertiliser_Products_Data4(),FertiliserProducts[[#Headers],[Company]], 91)</f>
        <v/>
      </c>
      <c r="T195" s="148" t="str" cm="1">
        <f t="array" ref="T195">Common_InputFunctions.Utility_DisplayArrayInTable(Fertiliser_SourceData.Fertiliser_Products_Data4(),FertiliserProducts[[#Headers],[Company]], 91)</f>
        <v/>
      </c>
      <c r="U195" s="148" t="str" cm="1">
        <f t="array" ref="U195">Common_InputFunctions.Utility_DisplayArrayInTable(Fertiliser_SourceData.Fertiliser_Products_Data4(),FertiliserProducts[[#Headers],[Company]], 91)</f>
        <v/>
      </c>
      <c r="V195" s="148" t="str" cm="1">
        <f t="array" ref="V195">Common_InputFunctions.Utility_DisplayArrayInTable(Fertiliser_SourceData.Fertiliser_Products_Data4(),FertiliserProducts[[#Headers],[Company]], 91)</f>
        <v/>
      </c>
      <c r="W195" s="148" t="str" cm="1">
        <f t="array" ref="W195">Common_InputFunctions.Utility_DisplayArrayInTable(Fertiliser_SourceData.Fertiliser_Products_Data4(),FertiliserProducts[[#Headers],[Company]], 91)</f>
        <v/>
      </c>
      <c r="X195" s="148" t="str" cm="1">
        <f t="array" ref="X195">Common_InputFunctions.Utility_DisplayArrayInTable(Fertiliser_SourceData.Fertiliser_Products_Data4(),FertiliserProducts[[#Headers],[Company]], 91)</f>
        <v/>
      </c>
      <c r="Y195" s="148" t="str" cm="1">
        <f t="array" ref="Y195">Common_InputFunctions.Utility_DisplayArrayInTable(Fertiliser_SourceData.Fertiliser_Products_Data4(),FertiliserProducts[[#Headers],[Company]], 91)</f>
        <v/>
      </c>
      <c r="Z195" s="148" t="str" cm="1">
        <f t="array" ref="Z195">Common_InputFunctions.Utility_DisplayArrayInTable(Fertiliser_SourceData.Fertiliser_Products_Data4(),FertiliserProducts[[#Headers],[Company]], 91)</f>
        <v/>
      </c>
      <c r="AA195" s="148" t="str" cm="1">
        <f t="array" ref="AA195">Common_InputFunctions.Utility_DisplayArrayInTable(Fertiliser_SourceData.Fertiliser_Products_Data4(),FertiliserProducts[[#Headers],[Company]], 91)</f>
        <v/>
      </c>
      <c r="AB195" s="148" t="str" cm="1">
        <f t="array" ref="AB195">Common_InputFunctions.Utility_DisplayArrayInTable(Fertiliser_SourceData.Fertiliser_Products_Data4(),FertiliserProducts[[#Headers],[Company]], 91)</f>
        <v/>
      </c>
      <c r="AC195" s="148" t="str" cm="1">
        <f t="array" ref="AC195">Common_InputFunctions.Utility_DisplayArrayInTable(Fertiliser_SourceData.Fertiliser_Products_Data4(),FertiliserProducts[[#Headers],[Company]], 91)</f>
        <v/>
      </c>
      <c r="AD195" s="148" t="str" cm="1">
        <f t="array" ref="AD195">Common_InputFunctions.Utility_DisplayArrayInTable(Fertiliser_SourceData.Fertiliser_Products_Data4(),FertiliserProducts[[#Headers],[Company]], 91)</f>
        <v/>
      </c>
      <c r="AE195" s="148" t="str" cm="1">
        <f t="array" ref="AE195">Common_InputFunctions.Utility_DisplayArrayInTable(Fertiliser_SourceData.Fertiliser_Products_Data4(),FertiliserProducts[[#Headers],[Company]], 91)</f>
        <v/>
      </c>
      <c r="AF195" s="148" t="str" cm="1">
        <f t="array" ref="AF195">Common_InputFunctions.Utility_DisplayArrayInTable(Fertiliser_SourceData.Fertiliser_Products_Data4(),FertiliserProducts[[#Headers],[Company]], 91)</f>
        <v/>
      </c>
      <c r="AG195" s="148" t="str" cm="1">
        <f t="array" ref="AG195">Common_InputFunctions.Utility_DisplayArrayInTable(Fertiliser_SourceData.Fertiliser_Products_Data4(),FertiliserProducts[[#Headers],[Company]], 91)</f>
        <v/>
      </c>
      <c r="AH195" s="148" t="str" cm="1">
        <f t="array" ref="AH195">Common_InputFunctions.Utility_DisplayArrayInTable(Fertiliser_SourceData.Fertiliser_Products_Data4(),FertiliserProducts[[#Headers],[Company]], 91)</f>
        <v/>
      </c>
    </row>
    <row r="196" spans="4:34" ht="20.100000000000001" customHeight="1" x14ac:dyDescent="0.2">
      <c r="D196" s="148" t="str" cm="1">
        <f t="array" ref="D196">Common_InputFunctions.Utility_DisplayArrayInTable(Fertiliser_SourceData.Fertiliser_Products_Data4(),FertiliserProducts[[#Headers],[Company]], 91)</f>
        <v>Incitec Pivot Fertilisers</v>
      </c>
      <c r="E196" s="148" t="str" cm="1">
        <f t="array" ref="E196">Common_InputFunctions.Utility_DisplayArrayInTable(Fertiliser_SourceData.Fertiliser_Products_Data4(),FertiliserProducts[[#Headers],[Company]], 91)</f>
        <v>Cal-Gran Aftergraze</v>
      </c>
      <c r="F196" s="148" t="str" cm="1">
        <f t="array" ref="F196">Common_InputFunctions.Utility_DisplayArrayInTable(Fertiliser_SourceData.Fertiliser_Products_Data4(),FertiliserProducts[[#Headers],[Company]], 91)</f>
        <v>kg</v>
      </c>
      <c r="G196" s="148" cm="1">
        <f t="array" ref="G196">Common_InputFunctions.Utility_DisplayArrayInTable(Fertiliser_SourceData.Fertiliser_Products_Data4(),FertiliserProducts[[#Headers],[Company]], 91)</f>
        <v>1</v>
      </c>
      <c r="H196" s="148" t="str" cm="1">
        <f t="array" ref="H196">Common_InputFunctions.Utility_DisplayArrayInTable(Fertiliser_SourceData.Fertiliser_Products_Data4(),FertiliserProducts[[#Headers],[Company]], 91)</f>
        <v/>
      </c>
      <c r="I196" s="148" t="str" cm="1">
        <f t="array" ref="I196">Common_InputFunctions.Utility_DisplayArrayInTable(Fertiliser_SourceData.Fertiliser_Products_Data4(),FertiliserProducts[[#Headers],[Company]], 91)</f>
        <v/>
      </c>
      <c r="J196" s="148" t="str" cm="1">
        <f t="array" ref="J196">Common_InputFunctions.Utility_DisplayArrayInTable(Fertiliser_SourceData.Fertiliser_Products_Data4(),FertiliserProducts[[#Headers],[Company]], 91)</f>
        <v/>
      </c>
      <c r="K196" s="148" cm="1">
        <f t="array" ref="K196">Common_InputFunctions.Utility_DisplayArrayInTable(Fertiliser_SourceData.Fertiliser_Products_Data4(),FertiliserProducts[[#Headers],[Company]], 91)</f>
        <v>20.6</v>
      </c>
      <c r="L196" s="148" cm="1">
        <f t="array" ref="L196">Common_InputFunctions.Utility_DisplayArrayInTable(Fertiliser_SourceData.Fertiliser_Products_Data4(),FertiliserProducts[[#Headers],[Company]], 91)</f>
        <v>3</v>
      </c>
      <c r="M196" s="148" cm="1">
        <f t="array" ref="M196">Common_InputFunctions.Utility_DisplayArrayInTable(Fertiliser_SourceData.Fertiliser_Products_Data4(),FertiliserProducts[[#Headers],[Company]], 91)</f>
        <v>7.5</v>
      </c>
      <c r="N196" s="148" cm="1">
        <f t="array" ref="N196">Common_InputFunctions.Utility_DisplayArrayInTable(Fertiliser_SourceData.Fertiliser_Products_Data4(),FertiliserProducts[[#Headers],[Company]], 91)</f>
        <v>3.8</v>
      </c>
      <c r="O196" s="148" t="str" cm="1">
        <f t="array" ref="O196">Common_InputFunctions.Utility_DisplayArrayInTable(Fertiliser_SourceData.Fertiliser_Products_Data4(),FertiliserProducts[[#Headers],[Company]], 91)</f>
        <v>Nitrogen - Nitrate</v>
      </c>
      <c r="P196" s="148" cm="1">
        <f t="array" ref="P196">Common_InputFunctions.Utility_DisplayArrayInTable(Fertiliser_SourceData.Fertiliser_Products_Data4(),FertiliserProducts[[#Headers],[Company]], 91)</f>
        <v>6.4000000000000001E-2</v>
      </c>
      <c r="Q196" s="148" t="str" cm="1">
        <f t="array" ref="Q196">Common_InputFunctions.Utility_DisplayArrayInTable(Fertiliser_SourceData.Fertiliser_Products_Data4(),FertiliserProducts[[#Headers],[Company]], 91)</f>
        <v>Nitrogen - Ammoniacal</v>
      </c>
      <c r="R196" s="148" cm="1">
        <f t="array" ref="R196">Common_InputFunctions.Utility_DisplayArrayInTable(Fertiliser_SourceData.Fertiliser_Products_Data4(),FertiliserProducts[[#Headers],[Company]], 91)</f>
        <v>0.14199999999999999</v>
      </c>
      <c r="S196" s="148" t="str" cm="1">
        <f t="array" ref="S196">Common_InputFunctions.Utility_DisplayArrayInTable(Fertiliser_SourceData.Fertiliser_Products_Data4(),FertiliserProducts[[#Headers],[Company]], 91)</f>
        <v>Phosphorus - Generic</v>
      </c>
      <c r="T196" s="148" cm="1">
        <f t="array" ref="T196">Common_InputFunctions.Utility_DisplayArrayInTable(Fertiliser_SourceData.Fertiliser_Products_Data4(),FertiliserProducts[[#Headers],[Company]], 91)</f>
        <v>0.03</v>
      </c>
      <c r="U196" s="148" t="str" cm="1">
        <f t="array" ref="U196">Common_InputFunctions.Utility_DisplayArrayInTable(Fertiliser_SourceData.Fertiliser_Products_Data4(),FertiliserProducts[[#Headers],[Company]], 91)</f>
        <v>Potassium - Generic</v>
      </c>
      <c r="V196" s="148" cm="1">
        <f t="array" ref="V196">Common_InputFunctions.Utility_DisplayArrayInTable(Fertiliser_SourceData.Fertiliser_Products_Data4(),FertiliserProducts[[#Headers],[Company]], 91)</f>
        <v>7.4999999999999997E-2</v>
      </c>
      <c r="W196" s="148" t="str" cm="1">
        <f t="array" ref="W196">Common_InputFunctions.Utility_DisplayArrayInTable(Fertiliser_SourceData.Fertiliser_Products_Data4(),FertiliserProducts[[#Headers],[Company]], 91)</f>
        <v>Sulfur - Generic</v>
      </c>
      <c r="X196" s="148" cm="1">
        <f t="array" ref="X196">Common_InputFunctions.Utility_DisplayArrayInTable(Fertiliser_SourceData.Fertiliser_Products_Data4(),FertiliserProducts[[#Headers],[Company]], 91)</f>
        <v>3.7999999999999999E-2</v>
      </c>
      <c r="Y196" s="148" t="str" cm="1">
        <f t="array" ref="Y196">Common_InputFunctions.Utility_DisplayArrayInTable(Fertiliser_SourceData.Fertiliser_Products_Data4(),FertiliserProducts[[#Headers],[Company]], 91)</f>
        <v>Calcium</v>
      </c>
      <c r="Z196" s="148" cm="1">
        <f t="array" ref="Z196">Common_InputFunctions.Utility_DisplayArrayInTable(Fertiliser_SourceData.Fertiliser_Products_Data4(),FertiliserProducts[[#Headers],[Company]], 91)</f>
        <v>4.3999999999999997E-2</v>
      </c>
      <c r="AA196" s="148" t="str" cm="1">
        <f t="array" ref="AA196">Common_InputFunctions.Utility_DisplayArrayInTable(Fertiliser_SourceData.Fertiliser_Products_Data4(),FertiliserProducts[[#Headers],[Company]], 91)</f>
        <v/>
      </c>
      <c r="AB196" s="148" t="str" cm="1">
        <f t="array" ref="AB196">Common_InputFunctions.Utility_DisplayArrayInTable(Fertiliser_SourceData.Fertiliser_Products_Data4(),FertiliserProducts[[#Headers],[Company]], 91)</f>
        <v/>
      </c>
      <c r="AC196" s="148" t="str" cm="1">
        <f t="array" ref="AC196">Common_InputFunctions.Utility_DisplayArrayInTable(Fertiliser_SourceData.Fertiliser_Products_Data4(),FertiliserProducts[[#Headers],[Company]], 91)</f>
        <v/>
      </c>
      <c r="AD196" s="148" t="str" cm="1">
        <f t="array" ref="AD196">Common_InputFunctions.Utility_DisplayArrayInTable(Fertiliser_SourceData.Fertiliser_Products_Data4(),FertiliserProducts[[#Headers],[Company]], 91)</f>
        <v/>
      </c>
      <c r="AE196" s="148" t="str" cm="1">
        <f t="array" ref="AE196">Common_InputFunctions.Utility_DisplayArrayInTable(Fertiliser_SourceData.Fertiliser_Products_Data4(),FertiliserProducts[[#Headers],[Company]], 91)</f>
        <v/>
      </c>
      <c r="AF196" s="148" t="str" cm="1">
        <f t="array" ref="AF196">Common_InputFunctions.Utility_DisplayArrayInTable(Fertiliser_SourceData.Fertiliser_Products_Data4(),FertiliserProducts[[#Headers],[Company]], 91)</f>
        <v/>
      </c>
      <c r="AG196" s="148" t="str" cm="1">
        <f t="array" ref="AG196">Common_InputFunctions.Utility_DisplayArrayInTable(Fertiliser_SourceData.Fertiliser_Products_Data4(),FertiliserProducts[[#Headers],[Company]], 91)</f>
        <v/>
      </c>
      <c r="AH196" s="148" t="str" cm="1">
        <f t="array" ref="AH196">Common_InputFunctions.Utility_DisplayArrayInTable(Fertiliser_SourceData.Fertiliser_Products_Data4(),FertiliserProducts[[#Headers],[Company]], 91)</f>
        <v/>
      </c>
    </row>
    <row r="197" spans="4:34" ht="20.100000000000001" customHeight="1" x14ac:dyDescent="0.2">
      <c r="D197" s="148" t="str" cm="1">
        <f t="array" ref="D197">Common_InputFunctions.Utility_DisplayArrayInTable(Fertiliser_SourceData.Fertiliser_Products_Data4(),FertiliserProducts[[#Headers],[Company]], 91)</f>
        <v>Incitec Pivot Fertilisers</v>
      </c>
      <c r="E197" s="148" t="str" cm="1">
        <f t="array" ref="E197">Common_InputFunctions.Utility_DisplayArrayInTable(Fertiliser_SourceData.Fertiliser_Products_Data4(),FertiliserProducts[[#Headers],[Company]], 91)</f>
        <v>Cal-Gran Prodress</v>
      </c>
      <c r="F197" s="148" t="str" cm="1">
        <f t="array" ref="F197">Common_InputFunctions.Utility_DisplayArrayInTable(Fertiliser_SourceData.Fertiliser_Products_Data4(),FertiliserProducts[[#Headers],[Company]], 91)</f>
        <v>kg</v>
      </c>
      <c r="G197" s="148" cm="1">
        <f t="array" ref="G197">Common_InputFunctions.Utility_DisplayArrayInTable(Fertiliser_SourceData.Fertiliser_Products_Data4(),FertiliserProducts[[#Headers],[Company]], 91)</f>
        <v>1</v>
      </c>
      <c r="H197" s="148" t="str" cm="1">
        <f t="array" ref="H197">Common_InputFunctions.Utility_DisplayArrayInTable(Fertiliser_SourceData.Fertiliser_Products_Data4(),FertiliserProducts[[#Headers],[Company]], 91)</f>
        <v/>
      </c>
      <c r="I197" s="148" t="str" cm="1">
        <f t="array" ref="I197">Common_InputFunctions.Utility_DisplayArrayInTable(Fertiliser_SourceData.Fertiliser_Products_Data4(),FertiliserProducts[[#Headers],[Company]], 91)</f>
        <v/>
      </c>
      <c r="J197" s="148" t="str" cm="1">
        <f t="array" ref="J197">Common_InputFunctions.Utility_DisplayArrayInTable(Fertiliser_SourceData.Fertiliser_Products_Data4(),FertiliserProducts[[#Headers],[Company]], 91)</f>
        <v/>
      </c>
      <c r="K197" s="148" cm="1">
        <f t="array" ref="K197">Common_InputFunctions.Utility_DisplayArrayInTable(Fertiliser_SourceData.Fertiliser_Products_Data4(),FertiliserProducts[[#Headers],[Company]], 91)</f>
        <v>17.8</v>
      </c>
      <c r="L197" s="148" cm="1">
        <f t="array" ref="L197">Common_InputFunctions.Utility_DisplayArrayInTable(Fertiliser_SourceData.Fertiliser_Products_Data4(),FertiliserProducts[[#Headers],[Company]], 91)</f>
        <v>1</v>
      </c>
      <c r="M197" s="148" cm="1">
        <f t="array" ref="M197">Common_InputFunctions.Utility_DisplayArrayInTable(Fertiliser_SourceData.Fertiliser_Products_Data4(),FertiliserProducts[[#Headers],[Company]], 91)</f>
        <v>15</v>
      </c>
      <c r="N197" s="148" cm="1">
        <f t="array" ref="N197">Common_InputFunctions.Utility_DisplayArrayInTable(Fertiliser_SourceData.Fertiliser_Products_Data4(),FertiliserProducts[[#Headers],[Company]], 91)</f>
        <v>2.5</v>
      </c>
      <c r="O197" s="148" t="str" cm="1">
        <f t="array" ref="O197">Common_InputFunctions.Utility_DisplayArrayInTable(Fertiliser_SourceData.Fertiliser_Products_Data4(),FertiliserProducts[[#Headers],[Company]], 91)</f>
        <v>Nitrogen - Nitrate</v>
      </c>
      <c r="P197" s="148" cm="1">
        <f t="array" ref="P197">Common_InputFunctions.Utility_DisplayArrayInTable(Fertiliser_SourceData.Fertiliser_Products_Data4(),FertiliserProducts[[#Headers],[Company]], 91)</f>
        <v>5.5E-2</v>
      </c>
      <c r="Q197" s="148" t="str" cm="1">
        <f t="array" ref="Q197">Common_InputFunctions.Utility_DisplayArrayInTable(Fertiliser_SourceData.Fertiliser_Products_Data4(),FertiliserProducts[[#Headers],[Company]], 91)</f>
        <v>Nitrogen - Ammoniacal</v>
      </c>
      <c r="R197" s="148" cm="1">
        <f t="array" ref="R197">Common_InputFunctions.Utility_DisplayArrayInTable(Fertiliser_SourceData.Fertiliser_Products_Data4(),FertiliserProducts[[#Headers],[Company]], 91)</f>
        <v>0.123</v>
      </c>
      <c r="S197" s="148" t="str" cm="1">
        <f t="array" ref="S197">Common_InputFunctions.Utility_DisplayArrayInTable(Fertiliser_SourceData.Fertiliser_Products_Data4(),FertiliserProducts[[#Headers],[Company]], 91)</f>
        <v>Phosphorus - Generic</v>
      </c>
      <c r="T197" s="148" cm="1">
        <f t="array" ref="T197">Common_InputFunctions.Utility_DisplayArrayInTable(Fertiliser_SourceData.Fertiliser_Products_Data4(),FertiliserProducts[[#Headers],[Company]], 91)</f>
        <v>0.01</v>
      </c>
      <c r="U197" s="148" t="str" cm="1">
        <f t="array" ref="U197">Common_InputFunctions.Utility_DisplayArrayInTable(Fertiliser_SourceData.Fertiliser_Products_Data4(),FertiliserProducts[[#Headers],[Company]], 91)</f>
        <v>Potassium - Generic</v>
      </c>
      <c r="V197" s="148" cm="1">
        <f t="array" ref="V197">Common_InputFunctions.Utility_DisplayArrayInTable(Fertiliser_SourceData.Fertiliser_Products_Data4(),FertiliserProducts[[#Headers],[Company]], 91)</f>
        <v>0.15</v>
      </c>
      <c r="W197" s="148" t="str" cm="1">
        <f t="array" ref="W197">Common_InputFunctions.Utility_DisplayArrayInTable(Fertiliser_SourceData.Fertiliser_Products_Data4(),FertiliserProducts[[#Headers],[Company]], 91)</f>
        <v>Sulfur - Generic</v>
      </c>
      <c r="X197" s="148" cm="1">
        <f t="array" ref="X197">Common_InputFunctions.Utility_DisplayArrayInTable(Fertiliser_SourceData.Fertiliser_Products_Data4(),FertiliserProducts[[#Headers],[Company]], 91)</f>
        <v>2.5000000000000001E-2</v>
      </c>
      <c r="Y197" s="148" t="str" cm="1">
        <f t="array" ref="Y197">Common_InputFunctions.Utility_DisplayArrayInTable(Fertiliser_SourceData.Fertiliser_Products_Data4(),FertiliserProducts[[#Headers],[Company]], 91)</f>
        <v>Calcium</v>
      </c>
      <c r="Z197" s="148" cm="1">
        <f t="array" ref="Z197">Common_InputFunctions.Utility_DisplayArrayInTable(Fertiliser_SourceData.Fertiliser_Products_Data4(),FertiliserProducts[[#Headers],[Company]], 91)</f>
        <v>4.3999999999999997E-2</v>
      </c>
      <c r="AA197" s="148" t="str" cm="1">
        <f t="array" ref="AA197">Common_InputFunctions.Utility_DisplayArrayInTable(Fertiliser_SourceData.Fertiliser_Products_Data4(),FertiliserProducts[[#Headers],[Company]], 91)</f>
        <v/>
      </c>
      <c r="AB197" s="148" t="str" cm="1">
        <f t="array" ref="AB197">Common_InputFunctions.Utility_DisplayArrayInTable(Fertiliser_SourceData.Fertiliser_Products_Data4(),FertiliserProducts[[#Headers],[Company]], 91)</f>
        <v/>
      </c>
      <c r="AC197" s="148" t="str" cm="1">
        <f t="array" ref="AC197">Common_InputFunctions.Utility_DisplayArrayInTable(Fertiliser_SourceData.Fertiliser_Products_Data4(),FertiliserProducts[[#Headers],[Company]], 91)</f>
        <v/>
      </c>
      <c r="AD197" s="148" t="str" cm="1">
        <f t="array" ref="AD197">Common_InputFunctions.Utility_DisplayArrayInTable(Fertiliser_SourceData.Fertiliser_Products_Data4(),FertiliserProducts[[#Headers],[Company]], 91)</f>
        <v/>
      </c>
      <c r="AE197" s="148" t="str" cm="1">
        <f t="array" ref="AE197">Common_InputFunctions.Utility_DisplayArrayInTable(Fertiliser_SourceData.Fertiliser_Products_Data4(),FertiliserProducts[[#Headers],[Company]], 91)</f>
        <v/>
      </c>
      <c r="AF197" s="148" t="str" cm="1">
        <f t="array" ref="AF197">Common_InputFunctions.Utility_DisplayArrayInTable(Fertiliser_SourceData.Fertiliser_Products_Data4(),FertiliserProducts[[#Headers],[Company]], 91)</f>
        <v/>
      </c>
      <c r="AG197" s="148" t="str" cm="1">
        <f t="array" ref="AG197">Common_InputFunctions.Utility_DisplayArrayInTable(Fertiliser_SourceData.Fertiliser_Products_Data4(),FertiliserProducts[[#Headers],[Company]], 91)</f>
        <v/>
      </c>
      <c r="AH197" s="148" t="str" cm="1">
        <f t="array" ref="AH197">Common_InputFunctions.Utility_DisplayArrayInTable(Fertiliser_SourceData.Fertiliser_Products_Data4(),FertiliserProducts[[#Headers],[Company]], 91)</f>
        <v/>
      </c>
    </row>
    <row r="198" spans="4:34" ht="20.100000000000001" customHeight="1" x14ac:dyDescent="0.2">
      <c r="D198" s="148" t="str" cm="1">
        <f t="array" ref="D198">Common_InputFunctions.Utility_DisplayArrayInTable(Fertiliser_SourceData.Fertiliser_Products_Data4(),FertiliserProducts[[#Headers],[Company]], 91)</f>
        <v>Wengfu Australia</v>
      </c>
      <c r="E198" s="148" t="str" cm="1">
        <f t="array" ref="E198">Common_InputFunctions.Utility_DisplayArrayInTable(Fertiliser_SourceData.Fertiliser_Products_Data4(),FertiliserProducts[[#Headers],[Company]], 91)</f>
        <v>Wengfu PrimeZinc 10</v>
      </c>
      <c r="F198" s="148" t="str" cm="1">
        <f t="array" ref="F198">Common_InputFunctions.Utility_DisplayArrayInTable(Fertiliser_SourceData.Fertiliser_Products_Data4(),FertiliserProducts[[#Headers],[Company]], 91)</f>
        <v>kg</v>
      </c>
      <c r="G198" s="148" cm="1">
        <f t="array" ref="G198">Common_InputFunctions.Utility_DisplayArrayInTable(Fertiliser_SourceData.Fertiliser_Products_Data4(),FertiliserProducts[[#Headers],[Company]], 91)</f>
        <v>1</v>
      </c>
      <c r="H198" s="148" t="str" cm="1">
        <f t="array" ref="H198">Common_InputFunctions.Utility_DisplayArrayInTable(Fertiliser_SourceData.Fertiliser_Products_Data4(),FertiliserProducts[[#Headers],[Company]], 91)</f>
        <v/>
      </c>
      <c r="I198" s="148" t="str" cm="1">
        <f t="array" ref="I198">Common_InputFunctions.Utility_DisplayArrayInTable(Fertiliser_SourceData.Fertiliser_Products_Data4(),FertiliserProducts[[#Headers],[Company]], 91)</f>
        <v/>
      </c>
      <c r="J198" s="148" t="str" cm="1">
        <f t="array" ref="J198">Common_InputFunctions.Utility_DisplayArrayInTable(Fertiliser_SourceData.Fertiliser_Products_Data4(),FertiliserProducts[[#Headers],[Company]], 91)</f>
        <v/>
      </c>
      <c r="K198" s="148" cm="1">
        <f t="array" ref="K198">Common_InputFunctions.Utility_DisplayArrayInTable(Fertiliser_SourceData.Fertiliser_Products_Data4(),FertiliserProducts[[#Headers],[Company]], 91)</f>
        <v>10</v>
      </c>
      <c r="L198" s="148" cm="1">
        <f t="array" ref="L198">Common_InputFunctions.Utility_DisplayArrayInTable(Fertiliser_SourceData.Fertiliser_Products_Data4(),FertiliserProducts[[#Headers],[Company]], 91)</f>
        <v>22</v>
      </c>
      <c r="M198" s="148" t="str" cm="1">
        <f t="array" ref="M198">Common_InputFunctions.Utility_DisplayArrayInTable(Fertiliser_SourceData.Fertiliser_Products_Data4(),FertiliserProducts[[#Headers],[Company]], 91)</f>
        <v/>
      </c>
      <c r="N198" s="148" cm="1">
        <f t="array" ref="N198">Common_InputFunctions.Utility_DisplayArrayInTable(Fertiliser_SourceData.Fertiliser_Products_Data4(),FertiliserProducts[[#Headers],[Company]], 91)</f>
        <v>1.5</v>
      </c>
      <c r="O198" s="148" t="str" cm="1">
        <f t="array" ref="O198">Common_InputFunctions.Utility_DisplayArrayInTable(Fertiliser_SourceData.Fertiliser_Products_Data4(),FertiliserProducts[[#Headers],[Company]], 91)</f>
        <v>Nitrogen - Generic</v>
      </c>
      <c r="P198" s="148" cm="1">
        <f t="array" ref="P198">Common_InputFunctions.Utility_DisplayArrayInTable(Fertiliser_SourceData.Fertiliser_Products_Data4(),FertiliserProducts[[#Headers],[Company]], 91)</f>
        <v>0.1</v>
      </c>
      <c r="Q198" s="148" t="str" cm="1">
        <f t="array" ref="Q198">Common_InputFunctions.Utility_DisplayArrayInTable(Fertiliser_SourceData.Fertiliser_Products_Data4(),FertiliserProducts[[#Headers],[Company]], 91)</f>
        <v>Phosphorus - Generic</v>
      </c>
      <c r="R198" s="148" cm="1">
        <f t="array" ref="R198">Common_InputFunctions.Utility_DisplayArrayInTable(Fertiliser_SourceData.Fertiliser_Products_Data4(),FertiliserProducts[[#Headers],[Company]], 91)</f>
        <v>0.22</v>
      </c>
      <c r="S198" s="148" t="str" cm="1">
        <f t="array" ref="S198">Common_InputFunctions.Utility_DisplayArrayInTable(Fertiliser_SourceData.Fertiliser_Products_Data4(),FertiliserProducts[[#Headers],[Company]], 91)</f>
        <v>Sulfur - Generic</v>
      </c>
      <c r="T198" s="148" cm="1">
        <f t="array" ref="T198">Common_InputFunctions.Utility_DisplayArrayInTable(Fertiliser_SourceData.Fertiliser_Products_Data4(),FertiliserProducts[[#Headers],[Company]], 91)</f>
        <v>1.4999999999999999E-2</v>
      </c>
      <c r="U198" s="148" t="str" cm="1">
        <f t="array" ref="U198">Common_InputFunctions.Utility_DisplayArrayInTable(Fertiliser_SourceData.Fertiliser_Products_Data4(),FertiliserProducts[[#Headers],[Company]], 91)</f>
        <v>Zinc</v>
      </c>
      <c r="V198" s="148" cm="1">
        <f t="array" ref="V198">Common_InputFunctions.Utility_DisplayArrayInTable(Fertiliser_SourceData.Fertiliser_Products_Data4(),FertiliserProducts[[#Headers],[Company]], 91)</f>
        <v>0.01</v>
      </c>
      <c r="W198" s="148" t="str" cm="1">
        <f t="array" ref="W198">Common_InputFunctions.Utility_DisplayArrayInTable(Fertiliser_SourceData.Fertiliser_Products_Data4(),FertiliserProducts[[#Headers],[Company]], 91)</f>
        <v/>
      </c>
      <c r="X198" s="148" t="str" cm="1">
        <f t="array" ref="X198">Common_InputFunctions.Utility_DisplayArrayInTable(Fertiliser_SourceData.Fertiliser_Products_Data4(),FertiliserProducts[[#Headers],[Company]], 91)</f>
        <v/>
      </c>
      <c r="Y198" s="148" t="str" cm="1">
        <f t="array" ref="Y198">Common_InputFunctions.Utility_DisplayArrayInTable(Fertiliser_SourceData.Fertiliser_Products_Data4(),FertiliserProducts[[#Headers],[Company]], 91)</f>
        <v/>
      </c>
      <c r="Z198" s="148" t="str" cm="1">
        <f t="array" ref="Z198">Common_InputFunctions.Utility_DisplayArrayInTable(Fertiliser_SourceData.Fertiliser_Products_Data4(),FertiliserProducts[[#Headers],[Company]], 91)</f>
        <v/>
      </c>
      <c r="AA198" s="148" t="str" cm="1">
        <f t="array" ref="AA198">Common_InputFunctions.Utility_DisplayArrayInTable(Fertiliser_SourceData.Fertiliser_Products_Data4(),FertiliserProducts[[#Headers],[Company]], 91)</f>
        <v/>
      </c>
      <c r="AB198" s="148" t="str" cm="1">
        <f t="array" ref="AB198">Common_InputFunctions.Utility_DisplayArrayInTable(Fertiliser_SourceData.Fertiliser_Products_Data4(),FertiliserProducts[[#Headers],[Company]], 91)</f>
        <v/>
      </c>
      <c r="AC198" s="148" t="str" cm="1">
        <f t="array" ref="AC198">Common_InputFunctions.Utility_DisplayArrayInTable(Fertiliser_SourceData.Fertiliser_Products_Data4(),FertiliserProducts[[#Headers],[Company]], 91)</f>
        <v/>
      </c>
      <c r="AD198" s="148" t="str" cm="1">
        <f t="array" ref="AD198">Common_InputFunctions.Utility_DisplayArrayInTable(Fertiliser_SourceData.Fertiliser_Products_Data4(),FertiliserProducts[[#Headers],[Company]], 91)</f>
        <v/>
      </c>
      <c r="AE198" s="148" t="str" cm="1">
        <f t="array" ref="AE198">Common_InputFunctions.Utility_DisplayArrayInTable(Fertiliser_SourceData.Fertiliser_Products_Data4(),FertiliserProducts[[#Headers],[Company]], 91)</f>
        <v/>
      </c>
      <c r="AF198" s="148" t="str" cm="1">
        <f t="array" ref="AF198">Common_InputFunctions.Utility_DisplayArrayInTable(Fertiliser_SourceData.Fertiliser_Products_Data4(),FertiliserProducts[[#Headers],[Company]], 91)</f>
        <v/>
      </c>
      <c r="AG198" s="148" t="str" cm="1">
        <f t="array" ref="AG198">Common_InputFunctions.Utility_DisplayArrayInTable(Fertiliser_SourceData.Fertiliser_Products_Data4(),FertiliserProducts[[#Headers],[Company]], 91)</f>
        <v/>
      </c>
      <c r="AH198" s="148" t="str" cm="1">
        <f t="array" ref="AH198">Common_InputFunctions.Utility_DisplayArrayInTable(Fertiliser_SourceData.Fertiliser_Products_Data4(),FertiliserProducts[[#Headers],[Company]], 91)</f>
        <v/>
      </c>
    </row>
    <row r="199" spans="4:34" ht="20.100000000000001" customHeight="1" x14ac:dyDescent="0.2">
      <c r="D199" s="148" t="str" cm="1">
        <f t="array" ref="D199">Common_InputFunctions.Utility_DisplayArrayInTable(Fertiliser_SourceData.Fertiliser_Products_Data4(),FertiliserProducts[[#Headers],[Company]], 91)</f>
        <v>Wengfu Australia</v>
      </c>
      <c r="E199" s="148" t="str" cm="1">
        <f t="array" ref="E199">Common_InputFunctions.Utility_DisplayArrayInTable(Fertiliser_SourceData.Fertiliser_Products_Data4(),FertiliserProducts[[#Headers],[Company]], 91)</f>
        <v>Wengfu Pasture King</v>
      </c>
      <c r="F199" s="148" t="str" cm="1">
        <f t="array" ref="F199">Common_InputFunctions.Utility_DisplayArrayInTable(Fertiliser_SourceData.Fertiliser_Products_Data4(),FertiliserProducts[[#Headers],[Company]], 91)</f>
        <v>kg</v>
      </c>
      <c r="G199" s="148" cm="1">
        <f t="array" ref="G199">Common_InputFunctions.Utility_DisplayArrayInTable(Fertiliser_SourceData.Fertiliser_Products_Data4(),FertiliserProducts[[#Headers],[Company]], 91)</f>
        <v>1</v>
      </c>
      <c r="H199" s="148" t="str" cm="1">
        <f t="array" ref="H199">Common_InputFunctions.Utility_DisplayArrayInTable(Fertiliser_SourceData.Fertiliser_Products_Data4(),FertiliserProducts[[#Headers],[Company]], 91)</f>
        <v/>
      </c>
      <c r="I199" s="148" t="str" cm="1">
        <f t="array" ref="I199">Common_InputFunctions.Utility_DisplayArrayInTable(Fertiliser_SourceData.Fertiliser_Products_Data4(),FertiliserProducts[[#Headers],[Company]], 91)</f>
        <v/>
      </c>
      <c r="J199" s="148" t="str" cm="1">
        <f t="array" ref="J199">Common_InputFunctions.Utility_DisplayArrayInTable(Fertiliser_SourceData.Fertiliser_Products_Data4(),FertiliserProducts[[#Headers],[Company]], 91)</f>
        <v/>
      </c>
      <c r="K199" s="148" t="str" cm="1">
        <f t="array" ref="K199">Common_InputFunctions.Utility_DisplayArrayInTable(Fertiliser_SourceData.Fertiliser_Products_Data4(),FertiliserProducts[[#Headers],[Company]], 91)</f>
        <v/>
      </c>
      <c r="L199" s="148" cm="1">
        <f t="array" ref="L199">Common_InputFunctions.Utility_DisplayArrayInTable(Fertiliser_SourceData.Fertiliser_Products_Data4(),FertiliserProducts[[#Headers],[Company]], 91)</f>
        <v>15.7</v>
      </c>
      <c r="M199" s="148" t="str" cm="1">
        <f t="array" ref="M199">Common_InputFunctions.Utility_DisplayArrayInTable(Fertiliser_SourceData.Fertiliser_Products_Data4(),FertiliserProducts[[#Headers],[Company]], 91)</f>
        <v/>
      </c>
      <c r="N199" s="148" cm="1">
        <f t="array" ref="N199">Common_InputFunctions.Utility_DisplayArrayInTable(Fertiliser_SourceData.Fertiliser_Products_Data4(),FertiliserProducts[[#Headers],[Company]], 91)</f>
        <v>4.5999999999999996</v>
      </c>
      <c r="O199" s="148" t="str" cm="1">
        <f t="array" ref="O199">Common_InputFunctions.Utility_DisplayArrayInTable(Fertiliser_SourceData.Fertiliser_Products_Data4(),FertiliserProducts[[#Headers],[Company]], 91)</f>
        <v>Phosphorus - Generic</v>
      </c>
      <c r="P199" s="148" cm="1">
        <f t="array" ref="P199">Common_InputFunctions.Utility_DisplayArrayInTable(Fertiliser_SourceData.Fertiliser_Products_Data4(),FertiliserProducts[[#Headers],[Company]], 91)</f>
        <v>0.157</v>
      </c>
      <c r="Q199" s="148" t="str" cm="1">
        <f t="array" ref="Q199">Common_InputFunctions.Utility_DisplayArrayInTable(Fertiliser_SourceData.Fertiliser_Products_Data4(),FertiliserProducts[[#Headers],[Company]], 91)</f>
        <v>Sulfur - Generic</v>
      </c>
      <c r="R199" s="148" cm="1">
        <f t="array" ref="R199">Common_InputFunctions.Utility_DisplayArrayInTable(Fertiliser_SourceData.Fertiliser_Products_Data4(),FertiliserProducts[[#Headers],[Company]], 91)</f>
        <v>4.5999999999999999E-2</v>
      </c>
      <c r="S199" s="148" t="str" cm="1">
        <f t="array" ref="S199">Common_InputFunctions.Utility_DisplayArrayInTable(Fertiliser_SourceData.Fertiliser_Products_Data4(),FertiliserProducts[[#Headers],[Company]], 91)</f>
        <v>Calcium</v>
      </c>
      <c r="T199" s="148" cm="1">
        <f t="array" ref="T199">Common_InputFunctions.Utility_DisplayArrayInTable(Fertiliser_SourceData.Fertiliser_Products_Data4(),FertiliserProducts[[#Headers],[Company]], 91)</f>
        <v>0.14000000000000001</v>
      </c>
      <c r="U199" s="148" t="str" cm="1">
        <f t="array" ref="U199">Common_InputFunctions.Utility_DisplayArrayInTable(Fertiliser_SourceData.Fertiliser_Products_Data4(),FertiliserProducts[[#Headers],[Company]], 91)</f>
        <v/>
      </c>
      <c r="V199" s="148" t="str" cm="1">
        <f t="array" ref="V199">Common_InputFunctions.Utility_DisplayArrayInTable(Fertiliser_SourceData.Fertiliser_Products_Data4(),FertiliserProducts[[#Headers],[Company]], 91)</f>
        <v/>
      </c>
      <c r="W199" s="148" t="str" cm="1">
        <f t="array" ref="W199">Common_InputFunctions.Utility_DisplayArrayInTable(Fertiliser_SourceData.Fertiliser_Products_Data4(),FertiliserProducts[[#Headers],[Company]], 91)</f>
        <v/>
      </c>
      <c r="X199" s="148" t="str" cm="1">
        <f t="array" ref="X199">Common_InputFunctions.Utility_DisplayArrayInTable(Fertiliser_SourceData.Fertiliser_Products_Data4(),FertiliserProducts[[#Headers],[Company]], 91)</f>
        <v/>
      </c>
      <c r="Y199" s="148" t="str" cm="1">
        <f t="array" ref="Y199">Common_InputFunctions.Utility_DisplayArrayInTable(Fertiliser_SourceData.Fertiliser_Products_Data4(),FertiliserProducts[[#Headers],[Company]], 91)</f>
        <v/>
      </c>
      <c r="Z199" s="148" t="str" cm="1">
        <f t="array" ref="Z199">Common_InputFunctions.Utility_DisplayArrayInTable(Fertiliser_SourceData.Fertiliser_Products_Data4(),FertiliserProducts[[#Headers],[Company]], 91)</f>
        <v/>
      </c>
      <c r="AA199" s="148" t="str" cm="1">
        <f t="array" ref="AA199">Common_InputFunctions.Utility_DisplayArrayInTable(Fertiliser_SourceData.Fertiliser_Products_Data4(),FertiliserProducts[[#Headers],[Company]], 91)</f>
        <v/>
      </c>
      <c r="AB199" s="148" t="str" cm="1">
        <f t="array" ref="AB199">Common_InputFunctions.Utility_DisplayArrayInTable(Fertiliser_SourceData.Fertiliser_Products_Data4(),FertiliserProducts[[#Headers],[Company]], 91)</f>
        <v/>
      </c>
      <c r="AC199" s="148" t="str" cm="1">
        <f t="array" ref="AC199">Common_InputFunctions.Utility_DisplayArrayInTable(Fertiliser_SourceData.Fertiliser_Products_Data4(),FertiliserProducts[[#Headers],[Company]], 91)</f>
        <v/>
      </c>
      <c r="AD199" s="148" t="str" cm="1">
        <f t="array" ref="AD199">Common_InputFunctions.Utility_DisplayArrayInTable(Fertiliser_SourceData.Fertiliser_Products_Data4(),FertiliserProducts[[#Headers],[Company]], 91)</f>
        <v/>
      </c>
      <c r="AE199" s="148" t="str" cm="1">
        <f t="array" ref="AE199">Common_InputFunctions.Utility_DisplayArrayInTable(Fertiliser_SourceData.Fertiliser_Products_Data4(),FertiliserProducts[[#Headers],[Company]], 91)</f>
        <v/>
      </c>
      <c r="AF199" s="148" t="str" cm="1">
        <f t="array" ref="AF199">Common_InputFunctions.Utility_DisplayArrayInTable(Fertiliser_SourceData.Fertiliser_Products_Data4(),FertiliserProducts[[#Headers],[Company]], 91)</f>
        <v/>
      </c>
      <c r="AG199" s="148" t="str" cm="1">
        <f t="array" ref="AG199">Common_InputFunctions.Utility_DisplayArrayInTable(Fertiliser_SourceData.Fertiliser_Products_Data4(),FertiliserProducts[[#Headers],[Company]], 91)</f>
        <v/>
      </c>
      <c r="AH199" s="148" t="str" cm="1">
        <f t="array" ref="AH199">Common_InputFunctions.Utility_DisplayArrayInTable(Fertiliser_SourceData.Fertiliser_Products_Data4(),FertiliserProducts[[#Headers],[Company]], 91)</f>
        <v/>
      </c>
    </row>
    <row r="200" spans="4:34" ht="20.100000000000001" customHeight="1" x14ac:dyDescent="0.2">
      <c r="D200" s="148" t="str" cm="1">
        <f t="array" ref="D200">Common_InputFunctions.Utility_DisplayArrayInTable(Fertiliser_SourceData.Fertiliser_Products_Data4(),FertiliserProducts[[#Headers],[Company]], 91)</f>
        <v>Wengfu Australia</v>
      </c>
      <c r="E200" s="148" t="str" cm="1">
        <f t="array" ref="E200">Common_InputFunctions.Utility_DisplayArrayInTable(Fertiliser_SourceData.Fertiliser_Products_Data4(),FertiliserProducts[[#Headers],[Company]], 91)</f>
        <v>Wengfu SuStain</v>
      </c>
      <c r="F200" s="148" t="str" cm="1">
        <f t="array" ref="F200">Common_InputFunctions.Utility_DisplayArrayInTable(Fertiliser_SourceData.Fertiliser_Products_Data4(),FertiliserProducts[[#Headers],[Company]], 91)</f>
        <v>kg</v>
      </c>
      <c r="G200" s="148" cm="1">
        <f t="array" ref="G200">Common_InputFunctions.Utility_DisplayArrayInTable(Fertiliser_SourceData.Fertiliser_Products_Data4(),FertiliserProducts[[#Headers],[Company]], 91)</f>
        <v>1</v>
      </c>
      <c r="H200" s="148" t="str" cm="1">
        <f t="array" ref="H200">Common_InputFunctions.Utility_DisplayArrayInTable(Fertiliser_SourceData.Fertiliser_Products_Data4(),FertiliserProducts[[#Headers],[Company]], 91)</f>
        <v/>
      </c>
      <c r="I200" s="148" t="str" cm="1">
        <f t="array" ref="I200">Common_InputFunctions.Utility_DisplayArrayInTable(Fertiliser_SourceData.Fertiliser_Products_Data4(),FertiliserProducts[[#Headers],[Company]], 91)</f>
        <v/>
      </c>
      <c r="J200" s="148" t="str" cm="1">
        <f t="array" ref="J200">Common_InputFunctions.Utility_DisplayArrayInTable(Fertiliser_SourceData.Fertiliser_Products_Data4(),FertiliserProducts[[#Headers],[Company]], 91)</f>
        <v/>
      </c>
      <c r="K200" s="148" t="str" cm="1">
        <f t="array" ref="K200">Common_InputFunctions.Utility_DisplayArrayInTable(Fertiliser_SourceData.Fertiliser_Products_Data4(),FertiliserProducts[[#Headers],[Company]], 91)</f>
        <v/>
      </c>
      <c r="L200" s="148" t="str" cm="1">
        <f t="array" ref="L200">Common_InputFunctions.Utility_DisplayArrayInTable(Fertiliser_SourceData.Fertiliser_Products_Data4(),FertiliserProducts[[#Headers],[Company]], 91)</f>
        <v/>
      </c>
      <c r="M200" s="148" t="str" cm="1">
        <f t="array" ref="M200">Common_InputFunctions.Utility_DisplayArrayInTable(Fertiliser_SourceData.Fertiliser_Products_Data4(),FertiliserProducts[[#Headers],[Company]], 91)</f>
        <v/>
      </c>
      <c r="N200" s="148" cm="1">
        <f t="array" ref="N200">Common_InputFunctions.Utility_DisplayArrayInTable(Fertiliser_SourceData.Fertiliser_Products_Data4(),FertiliserProducts[[#Headers],[Company]], 91)</f>
        <v>90</v>
      </c>
      <c r="O200" s="148" t="str" cm="1">
        <f t="array" ref="O200">Common_InputFunctions.Utility_DisplayArrayInTable(Fertiliser_SourceData.Fertiliser_Products_Data4(),FertiliserProducts[[#Headers],[Company]], 91)</f>
        <v>Sulfur - Generic</v>
      </c>
      <c r="P200" s="148" cm="1">
        <f t="array" ref="P200">Common_InputFunctions.Utility_DisplayArrayInTable(Fertiliser_SourceData.Fertiliser_Products_Data4(),FertiliserProducts[[#Headers],[Company]], 91)</f>
        <v>0.9</v>
      </c>
      <c r="Q200" s="148" t="str" cm="1">
        <f t="array" ref="Q200">Common_InputFunctions.Utility_DisplayArrayInTable(Fertiliser_SourceData.Fertiliser_Products_Data4(),FertiliserProducts[[#Headers],[Company]], 91)</f>
        <v/>
      </c>
      <c r="R200" s="148" t="str" cm="1">
        <f t="array" ref="R200">Common_InputFunctions.Utility_DisplayArrayInTable(Fertiliser_SourceData.Fertiliser_Products_Data4(),FertiliserProducts[[#Headers],[Company]], 91)</f>
        <v/>
      </c>
      <c r="S200" s="148" t="str" cm="1">
        <f t="array" ref="S200">Common_InputFunctions.Utility_DisplayArrayInTable(Fertiliser_SourceData.Fertiliser_Products_Data4(),FertiliserProducts[[#Headers],[Company]], 91)</f>
        <v/>
      </c>
      <c r="T200" s="148" t="str" cm="1">
        <f t="array" ref="T200">Common_InputFunctions.Utility_DisplayArrayInTable(Fertiliser_SourceData.Fertiliser_Products_Data4(),FertiliserProducts[[#Headers],[Company]], 91)</f>
        <v/>
      </c>
      <c r="U200" s="148" t="str" cm="1">
        <f t="array" ref="U200">Common_InputFunctions.Utility_DisplayArrayInTable(Fertiliser_SourceData.Fertiliser_Products_Data4(),FertiliserProducts[[#Headers],[Company]], 91)</f>
        <v/>
      </c>
      <c r="V200" s="148" t="str" cm="1">
        <f t="array" ref="V200">Common_InputFunctions.Utility_DisplayArrayInTable(Fertiliser_SourceData.Fertiliser_Products_Data4(),FertiliserProducts[[#Headers],[Company]], 91)</f>
        <v/>
      </c>
      <c r="W200" s="148" t="str" cm="1">
        <f t="array" ref="W200">Common_InputFunctions.Utility_DisplayArrayInTable(Fertiliser_SourceData.Fertiliser_Products_Data4(),FertiliserProducts[[#Headers],[Company]], 91)</f>
        <v/>
      </c>
      <c r="X200" s="148" t="str" cm="1">
        <f t="array" ref="X200">Common_InputFunctions.Utility_DisplayArrayInTable(Fertiliser_SourceData.Fertiliser_Products_Data4(),FertiliserProducts[[#Headers],[Company]], 91)</f>
        <v/>
      </c>
      <c r="Y200" s="148" t="str" cm="1">
        <f t="array" ref="Y200">Common_InputFunctions.Utility_DisplayArrayInTable(Fertiliser_SourceData.Fertiliser_Products_Data4(),FertiliserProducts[[#Headers],[Company]], 91)</f>
        <v/>
      </c>
      <c r="Z200" s="148" t="str" cm="1">
        <f t="array" ref="Z200">Common_InputFunctions.Utility_DisplayArrayInTable(Fertiliser_SourceData.Fertiliser_Products_Data4(),FertiliserProducts[[#Headers],[Company]], 91)</f>
        <v/>
      </c>
      <c r="AA200" s="148" t="str" cm="1">
        <f t="array" ref="AA200">Common_InputFunctions.Utility_DisplayArrayInTable(Fertiliser_SourceData.Fertiliser_Products_Data4(),FertiliserProducts[[#Headers],[Company]], 91)</f>
        <v/>
      </c>
      <c r="AB200" s="148" t="str" cm="1">
        <f t="array" ref="AB200">Common_InputFunctions.Utility_DisplayArrayInTable(Fertiliser_SourceData.Fertiliser_Products_Data4(),FertiliserProducts[[#Headers],[Company]], 91)</f>
        <v/>
      </c>
      <c r="AC200" s="148" t="str" cm="1">
        <f t="array" ref="AC200">Common_InputFunctions.Utility_DisplayArrayInTable(Fertiliser_SourceData.Fertiliser_Products_Data4(),FertiliserProducts[[#Headers],[Company]], 91)</f>
        <v/>
      </c>
      <c r="AD200" s="148" t="str" cm="1">
        <f t="array" ref="AD200">Common_InputFunctions.Utility_DisplayArrayInTable(Fertiliser_SourceData.Fertiliser_Products_Data4(),FertiliserProducts[[#Headers],[Company]], 91)</f>
        <v/>
      </c>
      <c r="AE200" s="148" t="str" cm="1">
        <f t="array" ref="AE200">Common_InputFunctions.Utility_DisplayArrayInTable(Fertiliser_SourceData.Fertiliser_Products_Data4(),FertiliserProducts[[#Headers],[Company]], 91)</f>
        <v/>
      </c>
      <c r="AF200" s="148" t="str" cm="1">
        <f t="array" ref="AF200">Common_InputFunctions.Utility_DisplayArrayInTable(Fertiliser_SourceData.Fertiliser_Products_Data4(),FertiliserProducts[[#Headers],[Company]], 91)</f>
        <v/>
      </c>
      <c r="AG200" s="148" t="str" cm="1">
        <f t="array" ref="AG200">Common_InputFunctions.Utility_DisplayArrayInTable(Fertiliser_SourceData.Fertiliser_Products_Data4(),FertiliserProducts[[#Headers],[Company]], 91)</f>
        <v/>
      </c>
      <c r="AH200" s="148" t="str" cm="1">
        <f t="array" ref="AH200">Common_InputFunctions.Utility_DisplayArrayInTable(Fertiliser_SourceData.Fertiliser_Products_Data4(),FertiliserProducts[[#Headers],[Company]], 91)</f>
        <v/>
      </c>
    </row>
    <row r="201" spans="4:34" ht="20.100000000000001" customHeight="1" x14ac:dyDescent="0.2">
      <c r="D201" s="148" t="str" cm="1">
        <f t="array" ref="D201">Common_InputFunctions.Utility_DisplayArrayInTable(Fertiliser_SourceData.Fertiliser_Products_Data4(),FertiliserProducts[[#Headers],[Company]], 91)</f>
        <v>Wengfu Australia</v>
      </c>
      <c r="E201" s="148" t="str" cm="1">
        <f t="array" ref="E201">Common_InputFunctions.Utility_DisplayArrayInTable(Fertiliser_SourceData.Fertiliser_Products_Data4(),FertiliserProducts[[#Headers],[Company]], 91)</f>
        <v>Wengfu Slam</v>
      </c>
      <c r="F201" s="148" t="str" cm="1">
        <f t="array" ref="F201">Common_InputFunctions.Utility_DisplayArrayInTable(Fertiliser_SourceData.Fertiliser_Products_Data4(),FertiliserProducts[[#Headers],[Company]], 91)</f>
        <v>kg</v>
      </c>
      <c r="G201" s="148" cm="1">
        <f t="array" ref="G201">Common_InputFunctions.Utility_DisplayArrayInTable(Fertiliser_SourceData.Fertiliser_Products_Data4(),FertiliserProducts[[#Headers],[Company]], 91)</f>
        <v>1</v>
      </c>
      <c r="H201" s="148" t="str" cm="1">
        <f t="array" ref="H201">Common_InputFunctions.Utility_DisplayArrayInTable(Fertiliser_SourceData.Fertiliser_Products_Data4(),FertiliserProducts[[#Headers],[Company]], 91)</f>
        <v/>
      </c>
      <c r="I201" s="148" t="str" cm="1">
        <f t="array" ref="I201">Common_InputFunctions.Utility_DisplayArrayInTable(Fertiliser_SourceData.Fertiliser_Products_Data4(),FertiliserProducts[[#Headers],[Company]], 91)</f>
        <v/>
      </c>
      <c r="J201" s="148" t="str" cm="1">
        <f t="array" ref="J201">Common_InputFunctions.Utility_DisplayArrayInTable(Fertiliser_SourceData.Fertiliser_Products_Data4(),FertiliserProducts[[#Headers],[Company]], 91)</f>
        <v/>
      </c>
      <c r="K201" s="148" cm="1">
        <f t="array" ref="K201">Common_InputFunctions.Utility_DisplayArrayInTable(Fertiliser_SourceData.Fertiliser_Products_Data4(),FertiliserProducts[[#Headers],[Company]], 91)</f>
        <v>19.5</v>
      </c>
      <c r="L201" s="148" cm="1">
        <f t="array" ref="L201">Common_InputFunctions.Utility_DisplayArrayInTable(Fertiliser_SourceData.Fertiliser_Products_Data4(),FertiliserProducts[[#Headers],[Company]], 91)</f>
        <v>0.7</v>
      </c>
      <c r="M201" s="148" t="str" cm="1">
        <f t="array" ref="M201">Common_InputFunctions.Utility_DisplayArrayInTable(Fertiliser_SourceData.Fertiliser_Products_Data4(),FertiliserProducts[[#Headers],[Company]], 91)</f>
        <v/>
      </c>
      <c r="N201" s="148" cm="1">
        <f t="array" ref="N201">Common_InputFunctions.Utility_DisplayArrayInTable(Fertiliser_SourceData.Fertiliser_Products_Data4(),FertiliserProducts[[#Headers],[Company]], 91)</f>
        <v>23</v>
      </c>
      <c r="O201" s="148" t="str" cm="1">
        <f t="array" ref="O201">Common_InputFunctions.Utility_DisplayArrayInTable(Fertiliser_SourceData.Fertiliser_Products_Data4(),FertiliserProducts[[#Headers],[Company]], 91)</f>
        <v>Nitrogen - Generic</v>
      </c>
      <c r="P201" s="148" cm="1">
        <f t="array" ref="P201">Common_InputFunctions.Utility_DisplayArrayInTable(Fertiliser_SourceData.Fertiliser_Products_Data4(),FertiliserProducts[[#Headers],[Company]], 91)</f>
        <v>0.19500000000000001</v>
      </c>
      <c r="Q201" s="148" t="str" cm="1">
        <f t="array" ref="Q201">Common_InputFunctions.Utility_DisplayArrayInTable(Fertiliser_SourceData.Fertiliser_Products_Data4(),FertiliserProducts[[#Headers],[Company]], 91)</f>
        <v>Phosphorus - Generic</v>
      </c>
      <c r="R201" s="148" cm="1">
        <f t="array" ref="R201">Common_InputFunctions.Utility_DisplayArrayInTable(Fertiliser_SourceData.Fertiliser_Products_Data4(),FertiliserProducts[[#Headers],[Company]], 91)</f>
        <v>7.0000000000000001E-3</v>
      </c>
      <c r="S201" s="148" t="str" cm="1">
        <f t="array" ref="S201">Common_InputFunctions.Utility_DisplayArrayInTable(Fertiliser_SourceData.Fertiliser_Products_Data4(),FertiliserProducts[[#Headers],[Company]], 91)</f>
        <v>Sulfur - Generic</v>
      </c>
      <c r="T201" s="148" cm="1">
        <f t="array" ref="T201">Common_InputFunctions.Utility_DisplayArrayInTable(Fertiliser_SourceData.Fertiliser_Products_Data4(),FertiliserProducts[[#Headers],[Company]], 91)</f>
        <v>0.23</v>
      </c>
      <c r="U201" s="148" t="str" cm="1">
        <f t="array" ref="U201">Common_InputFunctions.Utility_DisplayArrayInTable(Fertiliser_SourceData.Fertiliser_Products_Data4(),FertiliserProducts[[#Headers],[Company]], 91)</f>
        <v/>
      </c>
      <c r="V201" s="148" t="str" cm="1">
        <f t="array" ref="V201">Common_InputFunctions.Utility_DisplayArrayInTable(Fertiliser_SourceData.Fertiliser_Products_Data4(),FertiliserProducts[[#Headers],[Company]], 91)</f>
        <v/>
      </c>
      <c r="W201" s="148" t="str" cm="1">
        <f t="array" ref="W201">Common_InputFunctions.Utility_DisplayArrayInTable(Fertiliser_SourceData.Fertiliser_Products_Data4(),FertiliserProducts[[#Headers],[Company]], 91)</f>
        <v/>
      </c>
      <c r="X201" s="148" t="str" cm="1">
        <f t="array" ref="X201">Common_InputFunctions.Utility_DisplayArrayInTable(Fertiliser_SourceData.Fertiliser_Products_Data4(),FertiliserProducts[[#Headers],[Company]], 91)</f>
        <v/>
      </c>
      <c r="Y201" s="148" t="str" cm="1">
        <f t="array" ref="Y201">Common_InputFunctions.Utility_DisplayArrayInTable(Fertiliser_SourceData.Fertiliser_Products_Data4(),FertiliserProducts[[#Headers],[Company]], 91)</f>
        <v/>
      </c>
      <c r="Z201" s="148" t="str" cm="1">
        <f t="array" ref="Z201">Common_InputFunctions.Utility_DisplayArrayInTable(Fertiliser_SourceData.Fertiliser_Products_Data4(),FertiliserProducts[[#Headers],[Company]], 91)</f>
        <v/>
      </c>
      <c r="AA201" s="148" t="str" cm="1">
        <f t="array" ref="AA201">Common_InputFunctions.Utility_DisplayArrayInTable(Fertiliser_SourceData.Fertiliser_Products_Data4(),FertiliserProducts[[#Headers],[Company]], 91)</f>
        <v/>
      </c>
      <c r="AB201" s="148" t="str" cm="1">
        <f t="array" ref="AB201">Common_InputFunctions.Utility_DisplayArrayInTable(Fertiliser_SourceData.Fertiliser_Products_Data4(),FertiliserProducts[[#Headers],[Company]], 91)</f>
        <v/>
      </c>
      <c r="AC201" s="148" t="str" cm="1">
        <f t="array" ref="AC201">Common_InputFunctions.Utility_DisplayArrayInTable(Fertiliser_SourceData.Fertiliser_Products_Data4(),FertiliserProducts[[#Headers],[Company]], 91)</f>
        <v/>
      </c>
      <c r="AD201" s="148" t="str" cm="1">
        <f t="array" ref="AD201">Common_InputFunctions.Utility_DisplayArrayInTable(Fertiliser_SourceData.Fertiliser_Products_Data4(),FertiliserProducts[[#Headers],[Company]], 91)</f>
        <v/>
      </c>
      <c r="AE201" s="148" t="str" cm="1">
        <f t="array" ref="AE201">Common_InputFunctions.Utility_DisplayArrayInTable(Fertiliser_SourceData.Fertiliser_Products_Data4(),FertiliserProducts[[#Headers],[Company]], 91)</f>
        <v/>
      </c>
      <c r="AF201" s="148" t="str" cm="1">
        <f t="array" ref="AF201">Common_InputFunctions.Utility_DisplayArrayInTable(Fertiliser_SourceData.Fertiliser_Products_Data4(),FertiliserProducts[[#Headers],[Company]], 91)</f>
        <v/>
      </c>
      <c r="AG201" s="148" t="str" cm="1">
        <f t="array" ref="AG201">Common_InputFunctions.Utility_DisplayArrayInTable(Fertiliser_SourceData.Fertiliser_Products_Data4(),FertiliserProducts[[#Headers],[Company]], 91)</f>
        <v/>
      </c>
      <c r="AH201" s="148" t="str" cm="1">
        <f t="array" ref="AH201">Common_InputFunctions.Utility_DisplayArrayInTable(Fertiliser_SourceData.Fertiliser_Products_Data4(),FertiliserProducts[[#Headers],[Company]], 91)</f>
        <v/>
      </c>
    </row>
    <row r="202" spans="4:34" ht="20.100000000000001" customHeight="1" x14ac:dyDescent="0.2">
      <c r="D202" s="148" t="str" cm="1">
        <f t="array" ref="D202">Common_InputFunctions.Utility_DisplayArrayInTable(Fertiliser_SourceData.Fertiliser_Products_Data4(),FertiliserProducts[[#Headers],[Company]], 91)</f>
        <v>Wengfu Australia</v>
      </c>
      <c r="E202" s="148" t="str" cm="1">
        <f t="array" ref="E202">Common_InputFunctions.Utility_DisplayArrayInTable(Fertiliser_SourceData.Fertiliser_Products_Data4(),FertiliserProducts[[#Headers],[Company]], 91)</f>
        <v>Wengfu Prime MSZ</v>
      </c>
      <c r="F202" s="148" t="str" cm="1">
        <f t="array" ref="F202">Common_InputFunctions.Utility_DisplayArrayInTable(Fertiliser_SourceData.Fertiliser_Products_Data4(),FertiliserProducts[[#Headers],[Company]], 91)</f>
        <v>kg</v>
      </c>
      <c r="G202" s="148" cm="1">
        <f t="array" ref="G202">Common_InputFunctions.Utility_DisplayArrayInTable(Fertiliser_SourceData.Fertiliser_Products_Data4(),FertiliserProducts[[#Headers],[Company]], 91)</f>
        <v>1</v>
      </c>
      <c r="H202" s="148" t="str" cm="1">
        <f t="array" ref="H202">Common_InputFunctions.Utility_DisplayArrayInTable(Fertiliser_SourceData.Fertiliser_Products_Data4(),FertiliserProducts[[#Headers],[Company]], 91)</f>
        <v/>
      </c>
      <c r="I202" s="148" t="str" cm="1">
        <f t="array" ref="I202">Common_InputFunctions.Utility_DisplayArrayInTable(Fertiliser_SourceData.Fertiliser_Products_Data4(),FertiliserProducts[[#Headers],[Company]], 91)</f>
        <v/>
      </c>
      <c r="J202" s="148" t="str" cm="1">
        <f t="array" ref="J202">Common_InputFunctions.Utility_DisplayArrayInTable(Fertiliser_SourceData.Fertiliser_Products_Data4(),FertiliserProducts[[#Headers],[Company]], 91)</f>
        <v/>
      </c>
      <c r="K202" s="148" cm="1">
        <f t="array" ref="K202">Common_InputFunctions.Utility_DisplayArrayInTable(Fertiliser_SourceData.Fertiliser_Products_Data4(),FertiliserProducts[[#Headers],[Company]], 91)</f>
        <v>10</v>
      </c>
      <c r="L202" s="148" cm="1">
        <f t="array" ref="L202">Common_InputFunctions.Utility_DisplayArrayInTable(Fertiliser_SourceData.Fertiliser_Products_Data4(),FertiliserProducts[[#Headers],[Company]], 91)</f>
        <v>18</v>
      </c>
      <c r="M202" s="148" t="str" cm="1">
        <f t="array" ref="M202">Common_InputFunctions.Utility_DisplayArrayInTable(Fertiliser_SourceData.Fertiliser_Products_Data4(),FertiliserProducts[[#Headers],[Company]], 91)</f>
        <v/>
      </c>
      <c r="N202" s="148" cm="1">
        <f t="array" ref="N202">Common_InputFunctions.Utility_DisplayArrayInTable(Fertiliser_SourceData.Fertiliser_Products_Data4(),FertiliserProducts[[#Headers],[Company]], 91)</f>
        <v>8</v>
      </c>
      <c r="O202" s="148" t="str" cm="1">
        <f t="array" ref="O202">Common_InputFunctions.Utility_DisplayArrayInTable(Fertiliser_SourceData.Fertiliser_Products_Data4(),FertiliserProducts[[#Headers],[Company]], 91)</f>
        <v>Nitrogen - Generic</v>
      </c>
      <c r="P202" s="148" cm="1">
        <f t="array" ref="P202">Common_InputFunctions.Utility_DisplayArrayInTable(Fertiliser_SourceData.Fertiliser_Products_Data4(),FertiliserProducts[[#Headers],[Company]], 91)</f>
        <v>0.1</v>
      </c>
      <c r="Q202" s="148" t="str" cm="1">
        <f t="array" ref="Q202">Common_InputFunctions.Utility_DisplayArrayInTable(Fertiliser_SourceData.Fertiliser_Products_Data4(),FertiliserProducts[[#Headers],[Company]], 91)</f>
        <v>Phosphorus - Generic</v>
      </c>
      <c r="R202" s="148" cm="1">
        <f t="array" ref="R202">Common_InputFunctions.Utility_DisplayArrayInTable(Fertiliser_SourceData.Fertiliser_Products_Data4(),FertiliserProducts[[#Headers],[Company]], 91)</f>
        <v>0.18</v>
      </c>
      <c r="S202" s="148" t="str" cm="1">
        <f t="array" ref="S202">Common_InputFunctions.Utility_DisplayArrayInTable(Fertiliser_SourceData.Fertiliser_Products_Data4(),FertiliserProducts[[#Headers],[Company]], 91)</f>
        <v>Sulfur - Generic</v>
      </c>
      <c r="T202" s="148" cm="1">
        <f t="array" ref="T202">Common_InputFunctions.Utility_DisplayArrayInTable(Fertiliser_SourceData.Fertiliser_Products_Data4(),FertiliserProducts[[#Headers],[Company]], 91)</f>
        <v>0.08</v>
      </c>
      <c r="U202" s="148" t="str" cm="1">
        <f t="array" ref="U202">Common_InputFunctions.Utility_DisplayArrayInTable(Fertiliser_SourceData.Fertiliser_Products_Data4(),FertiliserProducts[[#Headers],[Company]], 91)</f>
        <v>Zinc</v>
      </c>
      <c r="V202" s="148" cm="1">
        <f t="array" ref="V202">Common_InputFunctions.Utility_DisplayArrayInTable(Fertiliser_SourceData.Fertiliser_Products_Data4(),FertiliserProducts[[#Headers],[Company]], 91)</f>
        <v>5.0000000000000001E-3</v>
      </c>
      <c r="W202" s="148" t="str" cm="1">
        <f t="array" ref="W202">Common_InputFunctions.Utility_DisplayArrayInTable(Fertiliser_SourceData.Fertiliser_Products_Data4(),FertiliserProducts[[#Headers],[Company]], 91)</f>
        <v/>
      </c>
      <c r="X202" s="148" t="str" cm="1">
        <f t="array" ref="X202">Common_InputFunctions.Utility_DisplayArrayInTable(Fertiliser_SourceData.Fertiliser_Products_Data4(),FertiliserProducts[[#Headers],[Company]], 91)</f>
        <v/>
      </c>
      <c r="Y202" s="148" t="str" cm="1">
        <f t="array" ref="Y202">Common_InputFunctions.Utility_DisplayArrayInTable(Fertiliser_SourceData.Fertiliser_Products_Data4(),FertiliserProducts[[#Headers],[Company]], 91)</f>
        <v/>
      </c>
      <c r="Z202" s="148" t="str" cm="1">
        <f t="array" ref="Z202">Common_InputFunctions.Utility_DisplayArrayInTable(Fertiliser_SourceData.Fertiliser_Products_Data4(),FertiliserProducts[[#Headers],[Company]], 91)</f>
        <v/>
      </c>
      <c r="AA202" s="148" t="str" cm="1">
        <f t="array" ref="AA202">Common_InputFunctions.Utility_DisplayArrayInTable(Fertiliser_SourceData.Fertiliser_Products_Data4(),FertiliserProducts[[#Headers],[Company]], 91)</f>
        <v/>
      </c>
      <c r="AB202" s="148" t="str" cm="1">
        <f t="array" ref="AB202">Common_InputFunctions.Utility_DisplayArrayInTable(Fertiliser_SourceData.Fertiliser_Products_Data4(),FertiliserProducts[[#Headers],[Company]], 91)</f>
        <v/>
      </c>
      <c r="AC202" s="148" t="str" cm="1">
        <f t="array" ref="AC202">Common_InputFunctions.Utility_DisplayArrayInTable(Fertiliser_SourceData.Fertiliser_Products_Data4(),FertiliserProducts[[#Headers],[Company]], 91)</f>
        <v/>
      </c>
      <c r="AD202" s="148" t="str" cm="1">
        <f t="array" ref="AD202">Common_InputFunctions.Utility_DisplayArrayInTable(Fertiliser_SourceData.Fertiliser_Products_Data4(),FertiliserProducts[[#Headers],[Company]], 91)</f>
        <v/>
      </c>
      <c r="AE202" s="148" t="str" cm="1">
        <f t="array" ref="AE202">Common_InputFunctions.Utility_DisplayArrayInTable(Fertiliser_SourceData.Fertiliser_Products_Data4(),FertiliserProducts[[#Headers],[Company]], 91)</f>
        <v/>
      </c>
      <c r="AF202" s="148" t="str" cm="1">
        <f t="array" ref="AF202">Common_InputFunctions.Utility_DisplayArrayInTable(Fertiliser_SourceData.Fertiliser_Products_Data4(),FertiliserProducts[[#Headers],[Company]], 91)</f>
        <v/>
      </c>
      <c r="AG202" s="148" t="str" cm="1">
        <f t="array" ref="AG202">Common_InputFunctions.Utility_DisplayArrayInTable(Fertiliser_SourceData.Fertiliser_Products_Data4(),FertiliserProducts[[#Headers],[Company]], 91)</f>
        <v/>
      </c>
      <c r="AH202" s="148" t="str" cm="1">
        <f t="array" ref="AH202">Common_InputFunctions.Utility_DisplayArrayInTable(Fertiliser_SourceData.Fertiliser_Products_Data4(),FertiliserProducts[[#Headers],[Company]], 91)</f>
        <v/>
      </c>
    </row>
    <row r="203" spans="4:34" ht="20.100000000000001" customHeight="1" x14ac:dyDescent="0.2">
      <c r="D203" s="148" t="str" cm="1">
        <f t="array" ref="D203">Common_InputFunctions.Utility_DisplayArrayInTable(Fertiliser_SourceData.Fertiliser_Products_Data4(),FertiliserProducts[[#Headers],[Company]], 91)</f>
        <v>Wengfu Australia</v>
      </c>
      <c r="E203" s="148" t="str" cm="1">
        <f t="array" ref="E203">Common_InputFunctions.Utility_DisplayArrayInTable(Fertiliser_SourceData.Fertiliser_Products_Data4(),FertiliserProducts[[#Headers],[Company]], 91)</f>
        <v>Wengfu 9-20-0-10 MAP SuStain</v>
      </c>
      <c r="F203" s="148" t="str" cm="1">
        <f t="array" ref="F203">Common_InputFunctions.Utility_DisplayArrayInTable(Fertiliser_SourceData.Fertiliser_Products_Data4(),FertiliserProducts[[#Headers],[Company]], 91)</f>
        <v>kg</v>
      </c>
      <c r="G203" s="148" cm="1">
        <f t="array" ref="G203">Common_InputFunctions.Utility_DisplayArrayInTable(Fertiliser_SourceData.Fertiliser_Products_Data4(),FertiliserProducts[[#Headers],[Company]], 91)</f>
        <v>1</v>
      </c>
      <c r="H203" s="148" t="str" cm="1">
        <f t="array" ref="H203">Common_InputFunctions.Utility_DisplayArrayInTable(Fertiliser_SourceData.Fertiliser_Products_Data4(),FertiliserProducts[[#Headers],[Company]], 91)</f>
        <v/>
      </c>
      <c r="I203" s="148" t="str" cm="1">
        <f t="array" ref="I203">Common_InputFunctions.Utility_DisplayArrayInTable(Fertiliser_SourceData.Fertiliser_Products_Data4(),FertiliserProducts[[#Headers],[Company]], 91)</f>
        <v/>
      </c>
      <c r="J203" s="148" t="str" cm="1">
        <f t="array" ref="J203">Common_InputFunctions.Utility_DisplayArrayInTable(Fertiliser_SourceData.Fertiliser_Products_Data4(),FertiliserProducts[[#Headers],[Company]], 91)</f>
        <v/>
      </c>
      <c r="K203" s="148" cm="1">
        <f t="array" ref="K203">Common_InputFunctions.Utility_DisplayArrayInTable(Fertiliser_SourceData.Fertiliser_Products_Data4(),FertiliserProducts[[#Headers],[Company]], 91)</f>
        <v>9</v>
      </c>
      <c r="L203" s="148" cm="1">
        <f t="array" ref="L203">Common_InputFunctions.Utility_DisplayArrayInTable(Fertiliser_SourceData.Fertiliser_Products_Data4(),FertiliserProducts[[#Headers],[Company]], 91)</f>
        <v>19.8</v>
      </c>
      <c r="M203" s="148" cm="1">
        <f t="array" ref="M203">Common_InputFunctions.Utility_DisplayArrayInTable(Fertiliser_SourceData.Fertiliser_Products_Data4(),FertiliserProducts[[#Headers],[Company]], 91)</f>
        <v>0</v>
      </c>
      <c r="N203" s="148" cm="1">
        <f t="array" ref="N203">Common_InputFunctions.Utility_DisplayArrayInTable(Fertiliser_SourceData.Fertiliser_Products_Data4(),FertiliserProducts[[#Headers],[Company]], 91)</f>
        <v>10.4</v>
      </c>
      <c r="O203" s="148" t="str" cm="1">
        <f t="array" ref="O203">Common_InputFunctions.Utility_DisplayArrayInTable(Fertiliser_SourceData.Fertiliser_Products_Data4(),FertiliserProducts[[#Headers],[Company]], 91)</f>
        <v>Nitrogen - Generic</v>
      </c>
      <c r="P203" s="148" cm="1">
        <f t="array" ref="P203">Common_InputFunctions.Utility_DisplayArrayInTable(Fertiliser_SourceData.Fertiliser_Products_Data4(),FertiliserProducts[[#Headers],[Company]], 91)</f>
        <v>0.09</v>
      </c>
      <c r="Q203" s="148" t="str" cm="1">
        <f t="array" ref="Q203">Common_InputFunctions.Utility_DisplayArrayInTable(Fertiliser_SourceData.Fertiliser_Products_Data4(),FertiliserProducts[[#Headers],[Company]], 91)</f>
        <v>Phosphorus - Generic</v>
      </c>
      <c r="R203" s="148" cm="1">
        <f t="array" ref="R203">Common_InputFunctions.Utility_DisplayArrayInTable(Fertiliser_SourceData.Fertiliser_Products_Data4(),FertiliserProducts[[#Headers],[Company]], 91)</f>
        <v>0.19800000000000001</v>
      </c>
      <c r="S203" s="148" t="str" cm="1">
        <f t="array" ref="S203">Common_InputFunctions.Utility_DisplayArrayInTable(Fertiliser_SourceData.Fertiliser_Products_Data4(),FertiliserProducts[[#Headers],[Company]], 91)</f>
        <v>Sulfur - Generic</v>
      </c>
      <c r="T203" s="148" cm="1">
        <f t="array" ref="T203">Common_InputFunctions.Utility_DisplayArrayInTable(Fertiliser_SourceData.Fertiliser_Products_Data4(),FertiliserProducts[[#Headers],[Company]], 91)</f>
        <v>0.104</v>
      </c>
      <c r="U203" s="148" t="str" cm="1">
        <f t="array" ref="U203">Common_InputFunctions.Utility_DisplayArrayInTable(Fertiliser_SourceData.Fertiliser_Products_Data4(),FertiliserProducts[[#Headers],[Company]], 91)</f>
        <v/>
      </c>
      <c r="V203" s="148" t="str" cm="1">
        <f t="array" ref="V203">Common_InputFunctions.Utility_DisplayArrayInTable(Fertiliser_SourceData.Fertiliser_Products_Data4(),FertiliserProducts[[#Headers],[Company]], 91)</f>
        <v/>
      </c>
      <c r="W203" s="148" t="str" cm="1">
        <f t="array" ref="W203">Common_InputFunctions.Utility_DisplayArrayInTable(Fertiliser_SourceData.Fertiliser_Products_Data4(),FertiliserProducts[[#Headers],[Company]], 91)</f>
        <v/>
      </c>
      <c r="X203" s="148" t="str" cm="1">
        <f t="array" ref="X203">Common_InputFunctions.Utility_DisplayArrayInTable(Fertiliser_SourceData.Fertiliser_Products_Data4(),FertiliserProducts[[#Headers],[Company]], 91)</f>
        <v/>
      </c>
      <c r="Y203" s="148" t="str" cm="1">
        <f t="array" ref="Y203">Common_InputFunctions.Utility_DisplayArrayInTable(Fertiliser_SourceData.Fertiliser_Products_Data4(),FertiliserProducts[[#Headers],[Company]], 91)</f>
        <v/>
      </c>
      <c r="Z203" s="148" t="str" cm="1">
        <f t="array" ref="Z203">Common_InputFunctions.Utility_DisplayArrayInTable(Fertiliser_SourceData.Fertiliser_Products_Data4(),FertiliserProducts[[#Headers],[Company]], 91)</f>
        <v/>
      </c>
      <c r="AA203" s="148" t="str" cm="1">
        <f t="array" ref="AA203">Common_InputFunctions.Utility_DisplayArrayInTable(Fertiliser_SourceData.Fertiliser_Products_Data4(),FertiliserProducts[[#Headers],[Company]], 91)</f>
        <v/>
      </c>
      <c r="AB203" s="148" t="str" cm="1">
        <f t="array" ref="AB203">Common_InputFunctions.Utility_DisplayArrayInTable(Fertiliser_SourceData.Fertiliser_Products_Data4(),FertiliserProducts[[#Headers],[Company]], 91)</f>
        <v/>
      </c>
      <c r="AC203" s="148" t="str" cm="1">
        <f t="array" ref="AC203">Common_InputFunctions.Utility_DisplayArrayInTable(Fertiliser_SourceData.Fertiliser_Products_Data4(),FertiliserProducts[[#Headers],[Company]], 91)</f>
        <v/>
      </c>
      <c r="AD203" s="148" t="str" cm="1">
        <f t="array" ref="AD203">Common_InputFunctions.Utility_DisplayArrayInTable(Fertiliser_SourceData.Fertiliser_Products_Data4(),FertiliserProducts[[#Headers],[Company]], 91)</f>
        <v/>
      </c>
      <c r="AE203" s="148" t="str" cm="1">
        <f t="array" ref="AE203">Common_InputFunctions.Utility_DisplayArrayInTable(Fertiliser_SourceData.Fertiliser_Products_Data4(),FertiliserProducts[[#Headers],[Company]], 91)</f>
        <v/>
      </c>
      <c r="AF203" s="148" t="str" cm="1">
        <f t="array" ref="AF203">Common_InputFunctions.Utility_DisplayArrayInTable(Fertiliser_SourceData.Fertiliser_Products_Data4(),FertiliserProducts[[#Headers],[Company]], 91)</f>
        <v/>
      </c>
      <c r="AG203" s="148" t="str" cm="1">
        <f t="array" ref="AG203">Common_InputFunctions.Utility_DisplayArrayInTable(Fertiliser_SourceData.Fertiliser_Products_Data4(),FertiliserProducts[[#Headers],[Company]], 91)</f>
        <v/>
      </c>
      <c r="AH203" s="148" t="str" cm="1">
        <f t="array" ref="AH203">Common_InputFunctions.Utility_DisplayArrayInTable(Fertiliser_SourceData.Fertiliser_Products_Data4(),FertiliserProducts[[#Headers],[Company]], 91)</f>
        <v/>
      </c>
    </row>
    <row r="204" spans="4:34" ht="20.100000000000001" customHeight="1" x14ac:dyDescent="0.2">
      <c r="D204" s="148" t="str" cm="1">
        <f t="array" ref="D204">Common_InputFunctions.Utility_DisplayArrayInTable(Fertiliser_SourceData.Fertiliser_Products_Data4(),FertiliserProducts[[#Headers],[Company]], 91)</f>
        <v>Wengfu Australia</v>
      </c>
      <c r="E204" s="148" t="str" cm="1">
        <f t="array" ref="E204">Common_InputFunctions.Utility_DisplayArrayInTable(Fertiliser_SourceData.Fertiliser_Products_Data4(),FertiliserProducts[[#Headers],[Company]], 91)</f>
        <v>Wengfu 15-17-0-15 DAP SuStain</v>
      </c>
      <c r="F204" s="148" t="str" cm="1">
        <f t="array" ref="F204">Common_InputFunctions.Utility_DisplayArrayInTable(Fertiliser_SourceData.Fertiliser_Products_Data4(),FertiliserProducts[[#Headers],[Company]], 91)</f>
        <v>kg</v>
      </c>
      <c r="G204" s="148" cm="1">
        <f t="array" ref="G204">Common_InputFunctions.Utility_DisplayArrayInTable(Fertiliser_SourceData.Fertiliser_Products_Data4(),FertiliserProducts[[#Headers],[Company]], 91)</f>
        <v>1</v>
      </c>
      <c r="H204" s="148" t="str" cm="1">
        <f t="array" ref="H204">Common_InputFunctions.Utility_DisplayArrayInTable(Fertiliser_SourceData.Fertiliser_Products_Data4(),FertiliserProducts[[#Headers],[Company]], 91)</f>
        <v/>
      </c>
      <c r="I204" s="148" t="str" cm="1">
        <f t="array" ref="I204">Common_InputFunctions.Utility_DisplayArrayInTable(Fertiliser_SourceData.Fertiliser_Products_Data4(),FertiliserProducts[[#Headers],[Company]], 91)</f>
        <v/>
      </c>
      <c r="J204" s="148" t="str" cm="1">
        <f t="array" ref="J204">Common_InputFunctions.Utility_DisplayArrayInTable(Fertiliser_SourceData.Fertiliser_Products_Data4(),FertiliserProducts[[#Headers],[Company]], 91)</f>
        <v/>
      </c>
      <c r="K204" s="148" cm="1">
        <f t="array" ref="K204">Common_InputFunctions.Utility_DisplayArrayInTable(Fertiliser_SourceData.Fertiliser_Products_Data4(),FertiliserProducts[[#Headers],[Company]], 91)</f>
        <v>15.2</v>
      </c>
      <c r="L204" s="148" cm="1">
        <f t="array" ref="L204">Common_InputFunctions.Utility_DisplayArrayInTable(Fertiliser_SourceData.Fertiliser_Products_Data4(),FertiliserProducts[[#Headers],[Company]], 91)</f>
        <v>16.899999999999999</v>
      </c>
      <c r="M204" s="148" cm="1">
        <f t="array" ref="M204">Common_InputFunctions.Utility_DisplayArrayInTable(Fertiliser_SourceData.Fertiliser_Products_Data4(),FertiliserProducts[[#Headers],[Company]], 91)</f>
        <v>0</v>
      </c>
      <c r="N204" s="148" cm="1">
        <f t="array" ref="N204">Common_InputFunctions.Utility_DisplayArrayInTable(Fertiliser_SourceData.Fertiliser_Products_Data4(),FertiliserProducts[[#Headers],[Company]], 91)</f>
        <v>15.2</v>
      </c>
      <c r="O204" s="148" t="str" cm="1">
        <f t="array" ref="O204">Common_InputFunctions.Utility_DisplayArrayInTable(Fertiliser_SourceData.Fertiliser_Products_Data4(),FertiliserProducts[[#Headers],[Company]], 91)</f>
        <v>Nitrogen - Generic</v>
      </c>
      <c r="P204" s="148" cm="1">
        <f t="array" ref="P204">Common_InputFunctions.Utility_DisplayArrayInTable(Fertiliser_SourceData.Fertiliser_Products_Data4(),FertiliserProducts[[#Headers],[Company]], 91)</f>
        <v>0.152</v>
      </c>
      <c r="Q204" s="148" t="str" cm="1">
        <f t="array" ref="Q204">Common_InputFunctions.Utility_DisplayArrayInTable(Fertiliser_SourceData.Fertiliser_Products_Data4(),FertiliserProducts[[#Headers],[Company]], 91)</f>
        <v>Phosphorus - Generic</v>
      </c>
      <c r="R204" s="148" cm="1">
        <f t="array" ref="R204">Common_InputFunctions.Utility_DisplayArrayInTable(Fertiliser_SourceData.Fertiliser_Products_Data4(),FertiliserProducts[[#Headers],[Company]], 91)</f>
        <v>0.16900000000000001</v>
      </c>
      <c r="S204" s="148" t="str" cm="1">
        <f t="array" ref="S204">Common_InputFunctions.Utility_DisplayArrayInTable(Fertiliser_SourceData.Fertiliser_Products_Data4(),FertiliserProducts[[#Headers],[Company]], 91)</f>
        <v>Sulfur - Generic</v>
      </c>
      <c r="T204" s="148" cm="1">
        <f t="array" ref="T204">Common_InputFunctions.Utility_DisplayArrayInTable(Fertiliser_SourceData.Fertiliser_Products_Data4(),FertiliserProducts[[#Headers],[Company]], 91)</f>
        <v>0.152</v>
      </c>
      <c r="U204" s="148" t="str" cm="1">
        <f t="array" ref="U204">Common_InputFunctions.Utility_DisplayArrayInTable(Fertiliser_SourceData.Fertiliser_Products_Data4(),FertiliserProducts[[#Headers],[Company]], 91)</f>
        <v/>
      </c>
      <c r="V204" s="148" t="str" cm="1">
        <f t="array" ref="V204">Common_InputFunctions.Utility_DisplayArrayInTable(Fertiliser_SourceData.Fertiliser_Products_Data4(),FertiliserProducts[[#Headers],[Company]], 91)</f>
        <v/>
      </c>
      <c r="W204" s="148" t="str" cm="1">
        <f t="array" ref="W204">Common_InputFunctions.Utility_DisplayArrayInTable(Fertiliser_SourceData.Fertiliser_Products_Data4(),FertiliserProducts[[#Headers],[Company]], 91)</f>
        <v/>
      </c>
      <c r="X204" s="148" t="str" cm="1">
        <f t="array" ref="X204">Common_InputFunctions.Utility_DisplayArrayInTable(Fertiliser_SourceData.Fertiliser_Products_Data4(),FertiliserProducts[[#Headers],[Company]], 91)</f>
        <v/>
      </c>
      <c r="Y204" s="148" t="str" cm="1">
        <f t="array" ref="Y204">Common_InputFunctions.Utility_DisplayArrayInTable(Fertiliser_SourceData.Fertiliser_Products_Data4(),FertiliserProducts[[#Headers],[Company]], 91)</f>
        <v/>
      </c>
      <c r="Z204" s="148" t="str" cm="1">
        <f t="array" ref="Z204">Common_InputFunctions.Utility_DisplayArrayInTable(Fertiliser_SourceData.Fertiliser_Products_Data4(),FertiliserProducts[[#Headers],[Company]], 91)</f>
        <v/>
      </c>
      <c r="AA204" s="148" t="str" cm="1">
        <f t="array" ref="AA204">Common_InputFunctions.Utility_DisplayArrayInTable(Fertiliser_SourceData.Fertiliser_Products_Data4(),FertiliserProducts[[#Headers],[Company]], 91)</f>
        <v/>
      </c>
      <c r="AB204" s="148" t="str" cm="1">
        <f t="array" ref="AB204">Common_InputFunctions.Utility_DisplayArrayInTable(Fertiliser_SourceData.Fertiliser_Products_Data4(),FertiliserProducts[[#Headers],[Company]], 91)</f>
        <v/>
      </c>
      <c r="AC204" s="148" t="str" cm="1">
        <f t="array" ref="AC204">Common_InputFunctions.Utility_DisplayArrayInTable(Fertiliser_SourceData.Fertiliser_Products_Data4(),FertiliserProducts[[#Headers],[Company]], 91)</f>
        <v/>
      </c>
      <c r="AD204" s="148" t="str" cm="1">
        <f t="array" ref="AD204">Common_InputFunctions.Utility_DisplayArrayInTable(Fertiliser_SourceData.Fertiliser_Products_Data4(),FertiliserProducts[[#Headers],[Company]], 91)</f>
        <v/>
      </c>
      <c r="AE204" s="148" t="str" cm="1">
        <f t="array" ref="AE204">Common_InputFunctions.Utility_DisplayArrayInTable(Fertiliser_SourceData.Fertiliser_Products_Data4(),FertiliserProducts[[#Headers],[Company]], 91)</f>
        <v/>
      </c>
      <c r="AF204" s="148" t="str" cm="1">
        <f t="array" ref="AF204">Common_InputFunctions.Utility_DisplayArrayInTable(Fertiliser_SourceData.Fertiliser_Products_Data4(),FertiliserProducts[[#Headers],[Company]], 91)</f>
        <v/>
      </c>
      <c r="AG204" s="148" t="str" cm="1">
        <f t="array" ref="AG204">Common_InputFunctions.Utility_DisplayArrayInTable(Fertiliser_SourceData.Fertiliser_Products_Data4(),FertiliserProducts[[#Headers],[Company]], 91)</f>
        <v/>
      </c>
      <c r="AH204" s="148" t="str" cm="1">
        <f t="array" ref="AH204">Common_InputFunctions.Utility_DisplayArrayInTable(Fertiliser_SourceData.Fertiliser_Products_Data4(),FertiliserProducts[[#Headers],[Company]], 91)</f>
        <v/>
      </c>
    </row>
    <row r="205" spans="4:34" ht="20.100000000000001" customHeight="1" x14ac:dyDescent="0.2">
      <c r="D205" s="148" t="str" cm="1">
        <f t="array" ref="D205">Common_InputFunctions.Utility_DisplayArrayInTable(Fertiliser_SourceData.Fertiliser_Products_Data4(),FertiliserProducts[[#Headers],[Company]], 91)</f>
        <v>Wengfu Australia</v>
      </c>
      <c r="E205" s="148" t="str" cm="1">
        <f t="array" ref="E205">Common_InputFunctions.Utility_DisplayArrayInTable(Fertiliser_SourceData.Fertiliser_Products_Data4(),FertiliserProducts[[#Headers],[Company]], 91)</f>
        <v>Wengfu 16-18-0-10 DAP SuStain</v>
      </c>
      <c r="F205" s="148" t="str" cm="1">
        <f t="array" ref="F205">Common_InputFunctions.Utility_DisplayArrayInTable(Fertiliser_SourceData.Fertiliser_Products_Data4(),FertiliserProducts[[#Headers],[Company]], 91)</f>
        <v>kg</v>
      </c>
      <c r="G205" s="148" cm="1">
        <f t="array" ref="G205">Common_InputFunctions.Utility_DisplayArrayInTable(Fertiliser_SourceData.Fertiliser_Products_Data4(),FertiliserProducts[[#Headers],[Company]], 91)</f>
        <v>1</v>
      </c>
      <c r="H205" s="148" t="str" cm="1">
        <f t="array" ref="H205">Common_InputFunctions.Utility_DisplayArrayInTable(Fertiliser_SourceData.Fertiliser_Products_Data4(),FertiliserProducts[[#Headers],[Company]], 91)</f>
        <v/>
      </c>
      <c r="I205" s="148" t="str" cm="1">
        <f t="array" ref="I205">Common_InputFunctions.Utility_DisplayArrayInTable(Fertiliser_SourceData.Fertiliser_Products_Data4(),FertiliserProducts[[#Headers],[Company]], 91)</f>
        <v/>
      </c>
      <c r="J205" s="148" t="str" cm="1">
        <f t="array" ref="J205">Common_InputFunctions.Utility_DisplayArrayInTable(Fertiliser_SourceData.Fertiliser_Products_Data4(),FertiliserProducts[[#Headers],[Company]], 91)</f>
        <v/>
      </c>
      <c r="K205" s="148" cm="1">
        <f t="array" ref="K205">Common_InputFunctions.Utility_DisplayArrayInTable(Fertiliser_SourceData.Fertiliser_Products_Data4(),FertiliserProducts[[#Headers],[Company]], 91)</f>
        <v>16.2</v>
      </c>
      <c r="L205" s="148" cm="1">
        <f t="array" ref="L205">Common_InputFunctions.Utility_DisplayArrayInTable(Fertiliser_SourceData.Fertiliser_Products_Data4(),FertiliserProducts[[#Headers],[Company]], 91)</f>
        <v>18</v>
      </c>
      <c r="M205" s="148" cm="1">
        <f t="array" ref="M205">Common_InputFunctions.Utility_DisplayArrayInTable(Fertiliser_SourceData.Fertiliser_Products_Data4(),FertiliserProducts[[#Headers],[Company]], 91)</f>
        <v>0</v>
      </c>
      <c r="N205" s="148" cm="1">
        <f t="array" ref="N205">Common_InputFunctions.Utility_DisplayArrayInTable(Fertiliser_SourceData.Fertiliser_Products_Data4(),FertiliserProducts[[#Headers],[Company]], 91)</f>
        <v>10.4</v>
      </c>
      <c r="O205" s="148" t="str" cm="1">
        <f t="array" ref="O205">Common_InputFunctions.Utility_DisplayArrayInTable(Fertiliser_SourceData.Fertiliser_Products_Data4(),FertiliserProducts[[#Headers],[Company]], 91)</f>
        <v>Nitrogen - Generic</v>
      </c>
      <c r="P205" s="148" cm="1">
        <f t="array" ref="P205">Common_InputFunctions.Utility_DisplayArrayInTable(Fertiliser_SourceData.Fertiliser_Products_Data4(),FertiliserProducts[[#Headers],[Company]], 91)</f>
        <v>0.16200000000000001</v>
      </c>
      <c r="Q205" s="148" t="str" cm="1">
        <f t="array" ref="Q205">Common_InputFunctions.Utility_DisplayArrayInTable(Fertiliser_SourceData.Fertiliser_Products_Data4(),FertiliserProducts[[#Headers],[Company]], 91)</f>
        <v>Phosphorus - Generic</v>
      </c>
      <c r="R205" s="148" cm="1">
        <f t="array" ref="R205">Common_InputFunctions.Utility_DisplayArrayInTable(Fertiliser_SourceData.Fertiliser_Products_Data4(),FertiliserProducts[[#Headers],[Company]], 91)</f>
        <v>0.18</v>
      </c>
      <c r="S205" s="148" t="str" cm="1">
        <f t="array" ref="S205">Common_InputFunctions.Utility_DisplayArrayInTable(Fertiliser_SourceData.Fertiliser_Products_Data4(),FertiliserProducts[[#Headers],[Company]], 91)</f>
        <v>Sulfur - Generic</v>
      </c>
      <c r="T205" s="148" cm="1">
        <f t="array" ref="T205">Common_InputFunctions.Utility_DisplayArrayInTable(Fertiliser_SourceData.Fertiliser_Products_Data4(),FertiliserProducts[[#Headers],[Company]], 91)</f>
        <v>0.104</v>
      </c>
      <c r="U205" s="148" t="str" cm="1">
        <f t="array" ref="U205">Common_InputFunctions.Utility_DisplayArrayInTable(Fertiliser_SourceData.Fertiliser_Products_Data4(),FertiliserProducts[[#Headers],[Company]], 91)</f>
        <v/>
      </c>
      <c r="V205" s="148" t="str" cm="1">
        <f t="array" ref="V205">Common_InputFunctions.Utility_DisplayArrayInTable(Fertiliser_SourceData.Fertiliser_Products_Data4(),FertiliserProducts[[#Headers],[Company]], 91)</f>
        <v/>
      </c>
      <c r="W205" s="148" t="str" cm="1">
        <f t="array" ref="W205">Common_InputFunctions.Utility_DisplayArrayInTable(Fertiliser_SourceData.Fertiliser_Products_Data4(),FertiliserProducts[[#Headers],[Company]], 91)</f>
        <v/>
      </c>
      <c r="X205" s="148" t="str" cm="1">
        <f t="array" ref="X205">Common_InputFunctions.Utility_DisplayArrayInTable(Fertiliser_SourceData.Fertiliser_Products_Data4(),FertiliserProducts[[#Headers],[Company]], 91)</f>
        <v/>
      </c>
      <c r="Y205" s="148" t="str" cm="1">
        <f t="array" ref="Y205">Common_InputFunctions.Utility_DisplayArrayInTable(Fertiliser_SourceData.Fertiliser_Products_Data4(),FertiliserProducts[[#Headers],[Company]], 91)</f>
        <v/>
      </c>
      <c r="Z205" s="148" t="str" cm="1">
        <f t="array" ref="Z205">Common_InputFunctions.Utility_DisplayArrayInTable(Fertiliser_SourceData.Fertiliser_Products_Data4(),FertiliserProducts[[#Headers],[Company]], 91)</f>
        <v/>
      </c>
      <c r="AA205" s="148" t="str" cm="1">
        <f t="array" ref="AA205">Common_InputFunctions.Utility_DisplayArrayInTable(Fertiliser_SourceData.Fertiliser_Products_Data4(),FertiliserProducts[[#Headers],[Company]], 91)</f>
        <v/>
      </c>
      <c r="AB205" s="148" t="str" cm="1">
        <f t="array" ref="AB205">Common_InputFunctions.Utility_DisplayArrayInTable(Fertiliser_SourceData.Fertiliser_Products_Data4(),FertiliserProducts[[#Headers],[Company]], 91)</f>
        <v/>
      </c>
      <c r="AC205" s="148" t="str" cm="1">
        <f t="array" ref="AC205">Common_InputFunctions.Utility_DisplayArrayInTable(Fertiliser_SourceData.Fertiliser_Products_Data4(),FertiliserProducts[[#Headers],[Company]], 91)</f>
        <v/>
      </c>
      <c r="AD205" s="148" t="str" cm="1">
        <f t="array" ref="AD205">Common_InputFunctions.Utility_DisplayArrayInTable(Fertiliser_SourceData.Fertiliser_Products_Data4(),FertiliserProducts[[#Headers],[Company]], 91)</f>
        <v/>
      </c>
      <c r="AE205" s="148" t="str" cm="1">
        <f t="array" ref="AE205">Common_InputFunctions.Utility_DisplayArrayInTable(Fertiliser_SourceData.Fertiliser_Products_Data4(),FertiliserProducts[[#Headers],[Company]], 91)</f>
        <v/>
      </c>
      <c r="AF205" s="148" t="str" cm="1">
        <f t="array" ref="AF205">Common_InputFunctions.Utility_DisplayArrayInTable(Fertiliser_SourceData.Fertiliser_Products_Data4(),FertiliserProducts[[#Headers],[Company]], 91)</f>
        <v/>
      </c>
      <c r="AG205" s="148" t="str" cm="1">
        <f t="array" ref="AG205">Common_InputFunctions.Utility_DisplayArrayInTable(Fertiliser_SourceData.Fertiliser_Products_Data4(),FertiliserProducts[[#Headers],[Company]], 91)</f>
        <v/>
      </c>
      <c r="AH205" s="148" t="str" cm="1">
        <f t="array" ref="AH205">Common_InputFunctions.Utility_DisplayArrayInTable(Fertiliser_SourceData.Fertiliser_Products_Data4(),FertiliserProducts[[#Headers],[Company]], 91)</f>
        <v/>
      </c>
    </row>
    <row r="206" spans="4:34" ht="20.100000000000001" customHeight="1" x14ac:dyDescent="0.2">
      <c r="D206" s="148" t="str" cm="1">
        <f t="array" ref="D206">Common_InputFunctions.Utility_DisplayArrayInTable(Fertiliser_SourceData.Fertiliser_Products_Data4(),FertiliserProducts[[#Headers],[Company]], 91)</f>
        <v>Wengfu Australia</v>
      </c>
      <c r="E206" s="148" t="str" cm="1">
        <f t="array" ref="E206">Common_InputFunctions.Utility_DisplayArrayInTable(Fertiliser_SourceData.Fertiliser_Products_Data4(),FertiliserProducts[[#Headers],[Company]], 91)</f>
        <v>Wengfu 5-15-0-6 Fast Start Legume</v>
      </c>
      <c r="F206" s="148" t="str" cm="1">
        <f t="array" ref="F206">Common_InputFunctions.Utility_DisplayArrayInTable(Fertiliser_SourceData.Fertiliser_Products_Data4(),FertiliserProducts[[#Headers],[Company]], 91)</f>
        <v>kg</v>
      </c>
      <c r="G206" s="148" cm="1">
        <f t="array" ref="G206">Common_InputFunctions.Utility_DisplayArrayInTable(Fertiliser_SourceData.Fertiliser_Products_Data4(),FertiliserProducts[[#Headers],[Company]], 91)</f>
        <v>1</v>
      </c>
      <c r="H206" s="148" t="str" cm="1">
        <f t="array" ref="H206">Common_InputFunctions.Utility_DisplayArrayInTable(Fertiliser_SourceData.Fertiliser_Products_Data4(),FertiliserProducts[[#Headers],[Company]], 91)</f>
        <v/>
      </c>
      <c r="I206" s="148" t="str" cm="1">
        <f t="array" ref="I206">Common_InputFunctions.Utility_DisplayArrayInTable(Fertiliser_SourceData.Fertiliser_Products_Data4(),FertiliserProducts[[#Headers],[Company]], 91)</f>
        <v/>
      </c>
      <c r="J206" s="148" t="str" cm="1">
        <f t="array" ref="J206">Common_InputFunctions.Utility_DisplayArrayInTable(Fertiliser_SourceData.Fertiliser_Products_Data4(),FertiliserProducts[[#Headers],[Company]], 91)</f>
        <v/>
      </c>
      <c r="K206" s="148" cm="1">
        <f t="array" ref="K206">Common_InputFunctions.Utility_DisplayArrayInTable(Fertiliser_SourceData.Fertiliser_Products_Data4(),FertiliserProducts[[#Headers],[Company]], 91)</f>
        <v>5</v>
      </c>
      <c r="L206" s="148" cm="1">
        <f t="array" ref="L206">Common_InputFunctions.Utility_DisplayArrayInTable(Fertiliser_SourceData.Fertiliser_Products_Data4(),FertiliserProducts[[#Headers],[Company]], 91)</f>
        <v>15.4</v>
      </c>
      <c r="M206" s="148" cm="1">
        <f t="array" ref="M206">Common_InputFunctions.Utility_DisplayArrayInTable(Fertiliser_SourceData.Fertiliser_Products_Data4(),FertiliserProducts[[#Headers],[Company]], 91)</f>
        <v>0</v>
      </c>
      <c r="N206" s="148" cm="1">
        <f t="array" ref="N206">Common_InputFunctions.Utility_DisplayArrayInTable(Fertiliser_SourceData.Fertiliser_Products_Data4(),FertiliserProducts[[#Headers],[Company]], 91)</f>
        <v>6.3</v>
      </c>
      <c r="O206" s="148" t="str" cm="1">
        <f t="array" ref="O206">Common_InputFunctions.Utility_DisplayArrayInTable(Fertiliser_SourceData.Fertiliser_Products_Data4(),FertiliserProducts[[#Headers],[Company]], 91)</f>
        <v>Nitrogen - Generic</v>
      </c>
      <c r="P206" s="148" cm="1">
        <f t="array" ref="P206">Common_InputFunctions.Utility_DisplayArrayInTable(Fertiliser_SourceData.Fertiliser_Products_Data4(),FertiliserProducts[[#Headers],[Company]], 91)</f>
        <v>0.05</v>
      </c>
      <c r="Q206" s="148" t="str" cm="1">
        <f t="array" ref="Q206">Common_InputFunctions.Utility_DisplayArrayInTable(Fertiliser_SourceData.Fertiliser_Products_Data4(),FertiliserProducts[[#Headers],[Company]], 91)</f>
        <v>Phosphorus - Generic</v>
      </c>
      <c r="R206" s="148" cm="1">
        <f t="array" ref="R206">Common_InputFunctions.Utility_DisplayArrayInTable(Fertiliser_SourceData.Fertiliser_Products_Data4(),FertiliserProducts[[#Headers],[Company]], 91)</f>
        <v>0.154</v>
      </c>
      <c r="S206" s="148" t="str" cm="1">
        <f t="array" ref="S206">Common_InputFunctions.Utility_DisplayArrayInTable(Fertiliser_SourceData.Fertiliser_Products_Data4(),FertiliserProducts[[#Headers],[Company]], 91)</f>
        <v>Sulfur - Generic</v>
      </c>
      <c r="T206" s="148" cm="1">
        <f t="array" ref="T206">Common_InputFunctions.Utility_DisplayArrayInTable(Fertiliser_SourceData.Fertiliser_Products_Data4(),FertiliserProducts[[#Headers],[Company]], 91)</f>
        <v>6.3E-2</v>
      </c>
      <c r="U206" s="148" t="str" cm="1">
        <f t="array" ref="U206">Common_InputFunctions.Utility_DisplayArrayInTable(Fertiliser_SourceData.Fertiliser_Products_Data4(),FertiliserProducts[[#Headers],[Company]], 91)</f>
        <v/>
      </c>
      <c r="V206" s="148" t="str" cm="1">
        <f t="array" ref="V206">Common_InputFunctions.Utility_DisplayArrayInTable(Fertiliser_SourceData.Fertiliser_Products_Data4(),FertiliserProducts[[#Headers],[Company]], 91)</f>
        <v/>
      </c>
      <c r="W206" s="148" t="str" cm="1">
        <f t="array" ref="W206">Common_InputFunctions.Utility_DisplayArrayInTable(Fertiliser_SourceData.Fertiliser_Products_Data4(),FertiliserProducts[[#Headers],[Company]], 91)</f>
        <v/>
      </c>
      <c r="X206" s="148" t="str" cm="1">
        <f t="array" ref="X206">Common_InputFunctions.Utility_DisplayArrayInTable(Fertiliser_SourceData.Fertiliser_Products_Data4(),FertiliserProducts[[#Headers],[Company]], 91)</f>
        <v/>
      </c>
      <c r="Y206" s="148" t="str" cm="1">
        <f t="array" ref="Y206">Common_InputFunctions.Utility_DisplayArrayInTable(Fertiliser_SourceData.Fertiliser_Products_Data4(),FertiliserProducts[[#Headers],[Company]], 91)</f>
        <v/>
      </c>
      <c r="Z206" s="148" t="str" cm="1">
        <f t="array" ref="Z206">Common_InputFunctions.Utility_DisplayArrayInTable(Fertiliser_SourceData.Fertiliser_Products_Data4(),FertiliserProducts[[#Headers],[Company]], 91)</f>
        <v/>
      </c>
      <c r="AA206" s="148" t="str" cm="1">
        <f t="array" ref="AA206">Common_InputFunctions.Utility_DisplayArrayInTable(Fertiliser_SourceData.Fertiliser_Products_Data4(),FertiliserProducts[[#Headers],[Company]], 91)</f>
        <v/>
      </c>
      <c r="AB206" s="148" t="str" cm="1">
        <f t="array" ref="AB206">Common_InputFunctions.Utility_DisplayArrayInTable(Fertiliser_SourceData.Fertiliser_Products_Data4(),FertiliserProducts[[#Headers],[Company]], 91)</f>
        <v/>
      </c>
      <c r="AC206" s="148" t="str" cm="1">
        <f t="array" ref="AC206">Common_InputFunctions.Utility_DisplayArrayInTable(Fertiliser_SourceData.Fertiliser_Products_Data4(),FertiliserProducts[[#Headers],[Company]], 91)</f>
        <v/>
      </c>
      <c r="AD206" s="148" t="str" cm="1">
        <f t="array" ref="AD206">Common_InputFunctions.Utility_DisplayArrayInTable(Fertiliser_SourceData.Fertiliser_Products_Data4(),FertiliserProducts[[#Headers],[Company]], 91)</f>
        <v/>
      </c>
      <c r="AE206" s="148" t="str" cm="1">
        <f t="array" ref="AE206">Common_InputFunctions.Utility_DisplayArrayInTable(Fertiliser_SourceData.Fertiliser_Products_Data4(),FertiliserProducts[[#Headers],[Company]], 91)</f>
        <v/>
      </c>
      <c r="AF206" s="148" t="str" cm="1">
        <f t="array" ref="AF206">Common_InputFunctions.Utility_DisplayArrayInTable(Fertiliser_SourceData.Fertiliser_Products_Data4(),FertiliserProducts[[#Headers],[Company]], 91)</f>
        <v/>
      </c>
      <c r="AG206" s="148" t="str" cm="1">
        <f t="array" ref="AG206">Common_InputFunctions.Utility_DisplayArrayInTable(Fertiliser_SourceData.Fertiliser_Products_Data4(),FertiliserProducts[[#Headers],[Company]], 91)</f>
        <v/>
      </c>
      <c r="AH206" s="148" t="str" cm="1">
        <f t="array" ref="AH206">Common_InputFunctions.Utility_DisplayArrayInTable(Fertiliser_SourceData.Fertiliser_Products_Data4(),FertiliserProducts[[#Headers],[Company]], 91)</f>
        <v/>
      </c>
    </row>
    <row r="207" spans="4:34" ht="20.100000000000001" customHeight="1" x14ac:dyDescent="0.2">
      <c r="D207" s="148" t="str" cm="1">
        <f t="array" ref="D207">Common_InputFunctions.Utility_DisplayArrayInTable(Fertiliser_SourceData.Fertiliser_Products_Data4(),FertiliserProducts[[#Headers],[Company]], 91)</f>
        <v>Wengfu Australia</v>
      </c>
      <c r="E207" s="148" t="str" cm="1">
        <f t="array" ref="E207">Common_InputFunctions.Utility_DisplayArrayInTable(Fertiliser_SourceData.Fertiliser_Products_Data4(),FertiliserProducts[[#Headers],[Company]], 91)</f>
        <v>Wengfu 9-20-0-10 PrimeZinc</v>
      </c>
      <c r="F207" s="148" t="str" cm="1">
        <f t="array" ref="F207">Common_InputFunctions.Utility_DisplayArrayInTable(Fertiliser_SourceData.Fertiliser_Products_Data4(),FertiliserProducts[[#Headers],[Company]], 91)</f>
        <v>kg</v>
      </c>
      <c r="G207" s="148" cm="1">
        <f t="array" ref="G207">Common_InputFunctions.Utility_DisplayArrayInTable(Fertiliser_SourceData.Fertiliser_Products_Data4(),FertiliserProducts[[#Headers],[Company]], 91)</f>
        <v>1</v>
      </c>
      <c r="H207" s="148" t="str" cm="1">
        <f t="array" ref="H207">Common_InputFunctions.Utility_DisplayArrayInTable(Fertiliser_SourceData.Fertiliser_Products_Data4(),FertiliserProducts[[#Headers],[Company]], 91)</f>
        <v/>
      </c>
      <c r="I207" s="148" t="str" cm="1">
        <f t="array" ref="I207">Common_InputFunctions.Utility_DisplayArrayInTable(Fertiliser_SourceData.Fertiliser_Products_Data4(),FertiliserProducts[[#Headers],[Company]], 91)</f>
        <v/>
      </c>
      <c r="J207" s="148" t="str" cm="1">
        <f t="array" ref="J207">Common_InputFunctions.Utility_DisplayArrayInTable(Fertiliser_SourceData.Fertiliser_Products_Data4(),FertiliserProducts[[#Headers],[Company]], 91)</f>
        <v/>
      </c>
      <c r="K207" s="148" cm="1">
        <f t="array" ref="K207">Common_InputFunctions.Utility_DisplayArrayInTable(Fertiliser_SourceData.Fertiliser_Products_Data4(),FertiliserProducts[[#Headers],[Company]], 91)</f>
        <v>9</v>
      </c>
      <c r="L207" s="148" cm="1">
        <f t="array" ref="L207">Common_InputFunctions.Utility_DisplayArrayInTable(Fertiliser_SourceData.Fertiliser_Products_Data4(),FertiliserProducts[[#Headers],[Company]], 91)</f>
        <v>19.8</v>
      </c>
      <c r="M207" s="148" cm="1">
        <f t="array" ref="M207">Common_InputFunctions.Utility_DisplayArrayInTable(Fertiliser_SourceData.Fertiliser_Products_Data4(),FertiliserProducts[[#Headers],[Company]], 91)</f>
        <v>0</v>
      </c>
      <c r="N207" s="148" cm="1">
        <f t="array" ref="N207">Common_InputFunctions.Utility_DisplayArrayInTable(Fertiliser_SourceData.Fertiliser_Products_Data4(),FertiliserProducts[[#Headers],[Company]], 91)</f>
        <v>10.4</v>
      </c>
      <c r="O207" s="148" t="str" cm="1">
        <f t="array" ref="O207">Common_InputFunctions.Utility_DisplayArrayInTable(Fertiliser_SourceData.Fertiliser_Products_Data4(),FertiliserProducts[[#Headers],[Company]], 91)</f>
        <v>Nitrogen - Generic</v>
      </c>
      <c r="P207" s="148" cm="1">
        <f t="array" ref="P207">Common_InputFunctions.Utility_DisplayArrayInTable(Fertiliser_SourceData.Fertiliser_Products_Data4(),FertiliserProducts[[#Headers],[Company]], 91)</f>
        <v>0.09</v>
      </c>
      <c r="Q207" s="148" t="str" cm="1">
        <f t="array" ref="Q207">Common_InputFunctions.Utility_DisplayArrayInTable(Fertiliser_SourceData.Fertiliser_Products_Data4(),FertiliserProducts[[#Headers],[Company]], 91)</f>
        <v>Phosphorus - Generic</v>
      </c>
      <c r="R207" s="148" cm="1">
        <f t="array" ref="R207">Common_InputFunctions.Utility_DisplayArrayInTable(Fertiliser_SourceData.Fertiliser_Products_Data4(),FertiliserProducts[[#Headers],[Company]], 91)</f>
        <v>0.19800000000000001</v>
      </c>
      <c r="S207" s="148" t="str" cm="1">
        <f t="array" ref="S207">Common_InputFunctions.Utility_DisplayArrayInTable(Fertiliser_SourceData.Fertiliser_Products_Data4(),FertiliserProducts[[#Headers],[Company]], 91)</f>
        <v>Sulfur - Generic</v>
      </c>
      <c r="T207" s="148" cm="1">
        <f t="array" ref="T207">Common_InputFunctions.Utility_DisplayArrayInTable(Fertiliser_SourceData.Fertiliser_Products_Data4(),FertiliserProducts[[#Headers],[Company]], 91)</f>
        <v>0.104</v>
      </c>
      <c r="U207" s="148" t="str" cm="1">
        <f t="array" ref="U207">Common_InputFunctions.Utility_DisplayArrayInTable(Fertiliser_SourceData.Fertiliser_Products_Data4(),FertiliserProducts[[#Headers],[Company]], 91)</f>
        <v>Zinc</v>
      </c>
      <c r="V207" s="148" cm="1">
        <f t="array" ref="V207">Common_InputFunctions.Utility_DisplayArrayInTable(Fertiliser_SourceData.Fertiliser_Products_Data4(),FertiliserProducts[[#Headers],[Company]], 91)</f>
        <v>8.9999999999999993E-3</v>
      </c>
      <c r="W207" s="148" t="str" cm="1">
        <f t="array" ref="W207">Common_InputFunctions.Utility_DisplayArrayInTable(Fertiliser_SourceData.Fertiliser_Products_Data4(),FertiliserProducts[[#Headers],[Company]], 91)</f>
        <v/>
      </c>
      <c r="X207" s="148" t="str" cm="1">
        <f t="array" ref="X207">Common_InputFunctions.Utility_DisplayArrayInTable(Fertiliser_SourceData.Fertiliser_Products_Data4(),FertiliserProducts[[#Headers],[Company]], 91)</f>
        <v/>
      </c>
      <c r="Y207" s="148" t="str" cm="1">
        <f t="array" ref="Y207">Common_InputFunctions.Utility_DisplayArrayInTable(Fertiliser_SourceData.Fertiliser_Products_Data4(),FertiliserProducts[[#Headers],[Company]], 91)</f>
        <v/>
      </c>
      <c r="Z207" s="148" t="str" cm="1">
        <f t="array" ref="Z207">Common_InputFunctions.Utility_DisplayArrayInTable(Fertiliser_SourceData.Fertiliser_Products_Data4(),FertiliserProducts[[#Headers],[Company]], 91)</f>
        <v/>
      </c>
      <c r="AA207" s="148" t="str" cm="1">
        <f t="array" ref="AA207">Common_InputFunctions.Utility_DisplayArrayInTable(Fertiliser_SourceData.Fertiliser_Products_Data4(),FertiliserProducts[[#Headers],[Company]], 91)</f>
        <v/>
      </c>
      <c r="AB207" s="148" t="str" cm="1">
        <f t="array" ref="AB207">Common_InputFunctions.Utility_DisplayArrayInTable(Fertiliser_SourceData.Fertiliser_Products_Data4(),FertiliserProducts[[#Headers],[Company]], 91)</f>
        <v/>
      </c>
      <c r="AC207" s="148" t="str" cm="1">
        <f t="array" ref="AC207">Common_InputFunctions.Utility_DisplayArrayInTable(Fertiliser_SourceData.Fertiliser_Products_Data4(),FertiliserProducts[[#Headers],[Company]], 91)</f>
        <v/>
      </c>
      <c r="AD207" s="148" t="str" cm="1">
        <f t="array" ref="AD207">Common_InputFunctions.Utility_DisplayArrayInTable(Fertiliser_SourceData.Fertiliser_Products_Data4(),FertiliserProducts[[#Headers],[Company]], 91)</f>
        <v/>
      </c>
      <c r="AE207" s="148" t="str" cm="1">
        <f t="array" ref="AE207">Common_InputFunctions.Utility_DisplayArrayInTable(Fertiliser_SourceData.Fertiliser_Products_Data4(),FertiliserProducts[[#Headers],[Company]], 91)</f>
        <v/>
      </c>
      <c r="AF207" s="148" t="str" cm="1">
        <f t="array" ref="AF207">Common_InputFunctions.Utility_DisplayArrayInTable(Fertiliser_SourceData.Fertiliser_Products_Data4(),FertiliserProducts[[#Headers],[Company]], 91)</f>
        <v/>
      </c>
      <c r="AG207" s="148" t="str" cm="1">
        <f t="array" ref="AG207">Common_InputFunctions.Utility_DisplayArrayInTable(Fertiliser_SourceData.Fertiliser_Products_Data4(),FertiliserProducts[[#Headers],[Company]], 91)</f>
        <v/>
      </c>
      <c r="AH207" s="148" t="str" cm="1">
        <f t="array" ref="AH207">Common_InputFunctions.Utility_DisplayArrayInTable(Fertiliser_SourceData.Fertiliser_Products_Data4(),FertiliserProducts[[#Headers],[Company]], 91)</f>
        <v/>
      </c>
    </row>
    <row r="208" spans="4:34" ht="20.100000000000001" customHeight="1" x14ac:dyDescent="0.2">
      <c r="D208" s="148" t="str" cm="1">
        <f t="array" ref="D208">Common_InputFunctions.Utility_DisplayArrayInTable(Fertiliser_SourceData.Fertiliser_Products_Data4(),FertiliserProducts[[#Headers],[Company]], 91)</f>
        <v>Wengfu Australia</v>
      </c>
      <c r="E208" s="148" t="str" cm="1">
        <f t="array" ref="E208">Common_InputFunctions.Utility_DisplayArrayInTable(Fertiliser_SourceData.Fertiliser_Products_Data4(),FertiliserProducts[[#Headers],[Company]], 91)</f>
        <v>Wengfu 12-18-0-6 PrimeZinc</v>
      </c>
      <c r="F208" s="148" t="str" cm="1">
        <f t="array" ref="F208">Common_InputFunctions.Utility_DisplayArrayInTable(Fertiliser_SourceData.Fertiliser_Products_Data4(),FertiliserProducts[[#Headers],[Company]], 91)</f>
        <v>kg</v>
      </c>
      <c r="G208" s="148" cm="1">
        <f t="array" ref="G208">Common_InputFunctions.Utility_DisplayArrayInTable(Fertiliser_SourceData.Fertiliser_Products_Data4(),FertiliserProducts[[#Headers],[Company]], 91)</f>
        <v>1</v>
      </c>
      <c r="H208" s="148" t="str" cm="1">
        <f t="array" ref="H208">Common_InputFunctions.Utility_DisplayArrayInTable(Fertiliser_SourceData.Fertiliser_Products_Data4(),FertiliserProducts[[#Headers],[Company]], 91)</f>
        <v/>
      </c>
      <c r="I208" s="148" t="str" cm="1">
        <f t="array" ref="I208">Common_InputFunctions.Utility_DisplayArrayInTable(Fertiliser_SourceData.Fertiliser_Products_Data4(),FertiliserProducts[[#Headers],[Company]], 91)</f>
        <v/>
      </c>
      <c r="J208" s="148" t="str" cm="1">
        <f t="array" ref="J208">Common_InputFunctions.Utility_DisplayArrayInTable(Fertiliser_SourceData.Fertiliser_Products_Data4(),FertiliserProducts[[#Headers],[Company]], 91)</f>
        <v/>
      </c>
      <c r="K208" s="148" cm="1">
        <f t="array" ref="K208">Common_InputFunctions.Utility_DisplayArrayInTable(Fertiliser_SourceData.Fertiliser_Products_Data4(),FertiliserProducts[[#Headers],[Company]], 91)</f>
        <v>11.9</v>
      </c>
      <c r="L208" s="148" cm="1">
        <f t="array" ref="L208">Common_InputFunctions.Utility_DisplayArrayInTable(Fertiliser_SourceData.Fertiliser_Products_Data4(),FertiliserProducts[[#Headers],[Company]], 91)</f>
        <v>17.600000000000001</v>
      </c>
      <c r="M208" s="148" cm="1">
        <f t="array" ref="M208">Common_InputFunctions.Utility_DisplayArrayInTable(Fertiliser_SourceData.Fertiliser_Products_Data4(),FertiliserProducts[[#Headers],[Company]], 91)</f>
        <v>0</v>
      </c>
      <c r="N208" s="148" cm="1">
        <f t="array" ref="N208">Common_InputFunctions.Utility_DisplayArrayInTable(Fertiliser_SourceData.Fertiliser_Products_Data4(),FertiliserProducts[[#Headers],[Company]], 91)</f>
        <v>5.9</v>
      </c>
      <c r="O208" s="148" t="str" cm="1">
        <f t="array" ref="O208">Common_InputFunctions.Utility_DisplayArrayInTable(Fertiliser_SourceData.Fertiliser_Products_Data4(),FertiliserProducts[[#Headers],[Company]], 91)</f>
        <v>Nitrogen - Generic</v>
      </c>
      <c r="P208" s="148" cm="1">
        <f t="array" ref="P208">Common_InputFunctions.Utility_DisplayArrayInTable(Fertiliser_SourceData.Fertiliser_Products_Data4(),FertiliserProducts[[#Headers],[Company]], 91)</f>
        <v>0.11899999999999999</v>
      </c>
      <c r="Q208" s="148" t="str" cm="1">
        <f t="array" ref="Q208">Common_InputFunctions.Utility_DisplayArrayInTable(Fertiliser_SourceData.Fertiliser_Products_Data4(),FertiliserProducts[[#Headers],[Company]], 91)</f>
        <v>Phosphorus - Generic</v>
      </c>
      <c r="R208" s="148" cm="1">
        <f t="array" ref="R208">Common_InputFunctions.Utility_DisplayArrayInTable(Fertiliser_SourceData.Fertiliser_Products_Data4(),FertiliserProducts[[#Headers],[Company]], 91)</f>
        <v>0.17599999999999999</v>
      </c>
      <c r="S208" s="148" t="str" cm="1">
        <f t="array" ref="S208">Common_InputFunctions.Utility_DisplayArrayInTable(Fertiliser_SourceData.Fertiliser_Products_Data4(),FertiliserProducts[[#Headers],[Company]], 91)</f>
        <v>Sulfur - Generic</v>
      </c>
      <c r="T208" s="148" cm="1">
        <f t="array" ref="T208">Common_InputFunctions.Utility_DisplayArrayInTable(Fertiliser_SourceData.Fertiliser_Products_Data4(),FertiliserProducts[[#Headers],[Company]], 91)</f>
        <v>5.8999999999999997E-2</v>
      </c>
      <c r="U208" s="148" t="str" cm="1">
        <f t="array" ref="U208">Common_InputFunctions.Utility_DisplayArrayInTable(Fertiliser_SourceData.Fertiliser_Products_Data4(),FertiliserProducts[[#Headers],[Company]], 91)</f>
        <v>Zinc</v>
      </c>
      <c r="V208" s="148" cm="1">
        <f t="array" ref="V208">Common_InputFunctions.Utility_DisplayArrayInTable(Fertiliser_SourceData.Fertiliser_Products_Data4(),FertiliserProducts[[#Headers],[Company]], 91)</f>
        <v>8.0000000000000002E-3</v>
      </c>
      <c r="W208" s="148" t="str" cm="1">
        <f t="array" ref="W208">Common_InputFunctions.Utility_DisplayArrayInTable(Fertiliser_SourceData.Fertiliser_Products_Data4(),FertiliserProducts[[#Headers],[Company]], 91)</f>
        <v/>
      </c>
      <c r="X208" s="148" t="str" cm="1">
        <f t="array" ref="X208">Common_InputFunctions.Utility_DisplayArrayInTable(Fertiliser_SourceData.Fertiliser_Products_Data4(),FertiliserProducts[[#Headers],[Company]], 91)</f>
        <v/>
      </c>
      <c r="Y208" s="148" t="str" cm="1">
        <f t="array" ref="Y208">Common_InputFunctions.Utility_DisplayArrayInTable(Fertiliser_SourceData.Fertiliser_Products_Data4(),FertiliserProducts[[#Headers],[Company]], 91)</f>
        <v/>
      </c>
      <c r="Z208" s="148" t="str" cm="1">
        <f t="array" ref="Z208">Common_InputFunctions.Utility_DisplayArrayInTable(Fertiliser_SourceData.Fertiliser_Products_Data4(),FertiliserProducts[[#Headers],[Company]], 91)</f>
        <v/>
      </c>
      <c r="AA208" s="148" t="str" cm="1">
        <f t="array" ref="AA208">Common_InputFunctions.Utility_DisplayArrayInTable(Fertiliser_SourceData.Fertiliser_Products_Data4(),FertiliserProducts[[#Headers],[Company]], 91)</f>
        <v/>
      </c>
      <c r="AB208" s="148" t="str" cm="1">
        <f t="array" ref="AB208">Common_InputFunctions.Utility_DisplayArrayInTable(Fertiliser_SourceData.Fertiliser_Products_Data4(),FertiliserProducts[[#Headers],[Company]], 91)</f>
        <v/>
      </c>
      <c r="AC208" s="148" t="str" cm="1">
        <f t="array" ref="AC208">Common_InputFunctions.Utility_DisplayArrayInTable(Fertiliser_SourceData.Fertiliser_Products_Data4(),FertiliserProducts[[#Headers],[Company]], 91)</f>
        <v/>
      </c>
      <c r="AD208" s="148" t="str" cm="1">
        <f t="array" ref="AD208">Common_InputFunctions.Utility_DisplayArrayInTable(Fertiliser_SourceData.Fertiliser_Products_Data4(),FertiliserProducts[[#Headers],[Company]], 91)</f>
        <v/>
      </c>
      <c r="AE208" s="148" t="str" cm="1">
        <f t="array" ref="AE208">Common_InputFunctions.Utility_DisplayArrayInTable(Fertiliser_SourceData.Fertiliser_Products_Data4(),FertiliserProducts[[#Headers],[Company]], 91)</f>
        <v/>
      </c>
      <c r="AF208" s="148" t="str" cm="1">
        <f t="array" ref="AF208">Common_InputFunctions.Utility_DisplayArrayInTable(Fertiliser_SourceData.Fertiliser_Products_Data4(),FertiliserProducts[[#Headers],[Company]], 91)</f>
        <v/>
      </c>
      <c r="AG208" s="148" t="str" cm="1">
        <f t="array" ref="AG208">Common_InputFunctions.Utility_DisplayArrayInTable(Fertiliser_SourceData.Fertiliser_Products_Data4(),FertiliserProducts[[#Headers],[Company]], 91)</f>
        <v/>
      </c>
      <c r="AH208" s="148" t="str" cm="1">
        <f t="array" ref="AH208">Common_InputFunctions.Utility_DisplayArrayInTable(Fertiliser_SourceData.Fertiliser_Products_Data4(),FertiliserProducts[[#Headers],[Company]], 91)</f>
        <v/>
      </c>
    </row>
    <row r="209" spans="1:34" ht="20.100000000000001" customHeight="1" x14ac:dyDescent="0.2">
      <c r="D209" s="148" t="str" cm="1">
        <f t="array" ref="D209">Common_InputFunctions.Utility_DisplayArrayInTable(Fertiliser_SourceData.Fertiliser_Products_Data4(),FertiliserProducts[[#Headers],[Company]], 91)</f>
        <v>Wengfu Australia</v>
      </c>
      <c r="E209" s="148" t="str" cm="1">
        <f t="array" ref="E209">Common_InputFunctions.Utility_DisplayArrayInTable(Fertiliser_SourceData.Fertiliser_Products_Data4(),FertiliserProducts[[#Headers],[Company]], 91)</f>
        <v>Wengfu 14-13-0-11 PrimeZinc</v>
      </c>
      <c r="F209" s="148" t="str" cm="1">
        <f t="array" ref="F209">Common_InputFunctions.Utility_DisplayArrayInTable(Fertiliser_SourceData.Fertiliser_Products_Data4(),FertiliserProducts[[#Headers],[Company]], 91)</f>
        <v>kg</v>
      </c>
      <c r="G209" s="148" cm="1">
        <f t="array" ref="G209">Common_InputFunctions.Utility_DisplayArrayInTable(Fertiliser_SourceData.Fertiliser_Products_Data4(),FertiliserProducts[[#Headers],[Company]], 91)</f>
        <v>1</v>
      </c>
      <c r="H209" s="148" t="str" cm="1">
        <f t="array" ref="H209">Common_InputFunctions.Utility_DisplayArrayInTable(Fertiliser_SourceData.Fertiliser_Products_Data4(),FertiliserProducts[[#Headers],[Company]], 91)</f>
        <v/>
      </c>
      <c r="I209" s="148" t="str" cm="1">
        <f t="array" ref="I209">Common_InputFunctions.Utility_DisplayArrayInTable(Fertiliser_SourceData.Fertiliser_Products_Data4(),FertiliserProducts[[#Headers],[Company]], 91)</f>
        <v/>
      </c>
      <c r="J209" s="148" t="str" cm="1">
        <f t="array" ref="J209">Common_InputFunctions.Utility_DisplayArrayInTable(Fertiliser_SourceData.Fertiliser_Products_Data4(),FertiliserProducts[[#Headers],[Company]], 91)</f>
        <v/>
      </c>
      <c r="K209" s="148" cm="1">
        <f t="array" ref="K209">Common_InputFunctions.Utility_DisplayArrayInTable(Fertiliser_SourceData.Fertiliser_Products_Data4(),FertiliserProducts[[#Headers],[Company]], 91)</f>
        <v>14.1</v>
      </c>
      <c r="L209" s="148" cm="1">
        <f t="array" ref="L209">Common_InputFunctions.Utility_DisplayArrayInTable(Fertiliser_SourceData.Fertiliser_Products_Data4(),FertiliserProducts[[#Headers],[Company]], 91)</f>
        <v>12.8</v>
      </c>
      <c r="M209" s="148" cm="1">
        <f t="array" ref="M209">Common_InputFunctions.Utility_DisplayArrayInTable(Fertiliser_SourceData.Fertiliser_Products_Data4(),FertiliserProducts[[#Headers],[Company]], 91)</f>
        <v>0</v>
      </c>
      <c r="N209" s="148" cm="1">
        <f t="array" ref="N209">Common_InputFunctions.Utility_DisplayArrayInTable(Fertiliser_SourceData.Fertiliser_Products_Data4(),FertiliserProducts[[#Headers],[Company]], 91)</f>
        <v>10.7</v>
      </c>
      <c r="O209" s="148" t="str" cm="1">
        <f t="array" ref="O209">Common_InputFunctions.Utility_DisplayArrayInTable(Fertiliser_SourceData.Fertiliser_Products_Data4(),FertiliserProducts[[#Headers],[Company]], 91)</f>
        <v>Nitrogen - Generic</v>
      </c>
      <c r="P209" s="148" cm="1">
        <f t="array" ref="P209">Common_InputFunctions.Utility_DisplayArrayInTable(Fertiliser_SourceData.Fertiliser_Products_Data4(),FertiliserProducts[[#Headers],[Company]], 91)</f>
        <v>0.14099999999999999</v>
      </c>
      <c r="Q209" s="148" t="str" cm="1">
        <f t="array" ref="Q209">Common_InputFunctions.Utility_DisplayArrayInTable(Fertiliser_SourceData.Fertiliser_Products_Data4(),FertiliserProducts[[#Headers],[Company]], 91)</f>
        <v>Phosphorus - Generic</v>
      </c>
      <c r="R209" s="148" cm="1">
        <f t="array" ref="R209">Common_InputFunctions.Utility_DisplayArrayInTable(Fertiliser_SourceData.Fertiliser_Products_Data4(),FertiliserProducts[[#Headers],[Company]], 91)</f>
        <v>0.128</v>
      </c>
      <c r="S209" s="148" t="str" cm="1">
        <f t="array" ref="S209">Common_InputFunctions.Utility_DisplayArrayInTable(Fertiliser_SourceData.Fertiliser_Products_Data4(),FertiliserProducts[[#Headers],[Company]], 91)</f>
        <v>Sulfur - Generic</v>
      </c>
      <c r="T209" s="148" cm="1">
        <f t="array" ref="T209">Common_InputFunctions.Utility_DisplayArrayInTable(Fertiliser_SourceData.Fertiliser_Products_Data4(),FertiliserProducts[[#Headers],[Company]], 91)</f>
        <v>0.107</v>
      </c>
      <c r="U209" s="148" t="str" cm="1">
        <f t="array" ref="U209">Common_InputFunctions.Utility_DisplayArrayInTable(Fertiliser_SourceData.Fertiliser_Products_Data4(),FertiliserProducts[[#Headers],[Company]], 91)</f>
        <v>Zinc</v>
      </c>
      <c r="V209" s="148" cm="1">
        <f t="array" ref="V209">Common_InputFunctions.Utility_DisplayArrayInTable(Fertiliser_SourceData.Fertiliser_Products_Data4(),FertiliserProducts[[#Headers],[Company]], 91)</f>
        <v>6.0000000000000001E-3</v>
      </c>
      <c r="W209" s="148" t="str" cm="1">
        <f t="array" ref="W209">Common_InputFunctions.Utility_DisplayArrayInTable(Fertiliser_SourceData.Fertiliser_Products_Data4(),FertiliserProducts[[#Headers],[Company]], 91)</f>
        <v/>
      </c>
      <c r="X209" s="148" t="str" cm="1">
        <f t="array" ref="X209">Common_InputFunctions.Utility_DisplayArrayInTable(Fertiliser_SourceData.Fertiliser_Products_Data4(),FertiliserProducts[[#Headers],[Company]], 91)</f>
        <v/>
      </c>
      <c r="Y209" s="148" t="str" cm="1">
        <f t="array" ref="Y209">Common_InputFunctions.Utility_DisplayArrayInTable(Fertiliser_SourceData.Fertiliser_Products_Data4(),FertiliserProducts[[#Headers],[Company]], 91)</f>
        <v/>
      </c>
      <c r="Z209" s="148" t="str" cm="1">
        <f t="array" ref="Z209">Common_InputFunctions.Utility_DisplayArrayInTable(Fertiliser_SourceData.Fertiliser_Products_Data4(),FertiliserProducts[[#Headers],[Company]], 91)</f>
        <v/>
      </c>
      <c r="AA209" s="148" t="str" cm="1">
        <f t="array" ref="AA209">Common_InputFunctions.Utility_DisplayArrayInTable(Fertiliser_SourceData.Fertiliser_Products_Data4(),FertiliserProducts[[#Headers],[Company]], 91)</f>
        <v/>
      </c>
      <c r="AB209" s="148" t="str" cm="1">
        <f t="array" ref="AB209">Common_InputFunctions.Utility_DisplayArrayInTable(Fertiliser_SourceData.Fertiliser_Products_Data4(),FertiliserProducts[[#Headers],[Company]], 91)</f>
        <v/>
      </c>
      <c r="AC209" s="148" t="str" cm="1">
        <f t="array" ref="AC209">Common_InputFunctions.Utility_DisplayArrayInTable(Fertiliser_SourceData.Fertiliser_Products_Data4(),FertiliserProducts[[#Headers],[Company]], 91)</f>
        <v/>
      </c>
      <c r="AD209" s="148" t="str" cm="1">
        <f t="array" ref="AD209">Common_InputFunctions.Utility_DisplayArrayInTable(Fertiliser_SourceData.Fertiliser_Products_Data4(),FertiliserProducts[[#Headers],[Company]], 91)</f>
        <v/>
      </c>
      <c r="AE209" s="148" t="str" cm="1">
        <f t="array" ref="AE209">Common_InputFunctions.Utility_DisplayArrayInTable(Fertiliser_SourceData.Fertiliser_Products_Data4(),FertiliserProducts[[#Headers],[Company]], 91)</f>
        <v/>
      </c>
      <c r="AF209" s="148" t="str" cm="1">
        <f t="array" ref="AF209">Common_InputFunctions.Utility_DisplayArrayInTable(Fertiliser_SourceData.Fertiliser_Products_Data4(),FertiliserProducts[[#Headers],[Company]], 91)</f>
        <v/>
      </c>
      <c r="AG209" s="148" t="str" cm="1">
        <f t="array" ref="AG209">Common_InputFunctions.Utility_DisplayArrayInTable(Fertiliser_SourceData.Fertiliser_Products_Data4(),FertiliserProducts[[#Headers],[Company]], 91)</f>
        <v/>
      </c>
      <c r="AH209" s="148" t="str" cm="1">
        <f t="array" ref="AH209">Common_InputFunctions.Utility_DisplayArrayInTable(Fertiliser_SourceData.Fertiliser_Products_Data4(),FertiliserProducts[[#Headers],[Company]], 91)</f>
        <v/>
      </c>
    </row>
    <row r="210" spans="1:34" ht="20.100000000000001" customHeight="1" x14ac:dyDescent="0.2">
      <c r="D210" s="148" t="str" cm="1">
        <f t="array" ref="D210">Common_InputFunctions.Utility_DisplayArrayInTable(Fertiliser_SourceData.Fertiliser_Products_Data5(),FertiliserProducts[[#Headers],[Company]], 121)</f>
        <v>Wengfu Australia</v>
      </c>
      <c r="E210" s="148" t="str" cm="1">
        <f t="array" ref="E210">Common_InputFunctions.Utility_DisplayArrayInTable(Fertiliser_SourceData.Fertiliser_Products_Data5(),FertiliserProducts[[#Headers],[Company]], 121)</f>
        <v>Wengfu 19-13-0-7 PrimeZinc</v>
      </c>
      <c r="F210" s="148" t="str" cm="1">
        <f t="array" ref="F210">Common_InputFunctions.Utility_DisplayArrayInTable(Fertiliser_SourceData.Fertiliser_Products_Data5(),FertiliserProducts[[#Headers],[Company]], 121)</f>
        <v>kg</v>
      </c>
      <c r="G210" s="148" cm="1">
        <f t="array" ref="G210">Common_InputFunctions.Utility_DisplayArrayInTable(Fertiliser_SourceData.Fertiliser_Products_Data5(),FertiliserProducts[[#Headers],[Company]], 121)</f>
        <v>1</v>
      </c>
      <c r="H210" s="148" t="str" cm="1">
        <f t="array" ref="H210">Common_InputFunctions.Utility_DisplayArrayInTable(Fertiliser_SourceData.Fertiliser_Products_Data5(),FertiliserProducts[[#Headers],[Company]], 121)</f>
        <v/>
      </c>
      <c r="I210" s="148" t="str" cm="1">
        <f t="array" ref="I210">Common_InputFunctions.Utility_DisplayArrayInTable(Fertiliser_SourceData.Fertiliser_Products_Data5(),FertiliserProducts[[#Headers],[Company]], 121)</f>
        <v/>
      </c>
      <c r="J210" s="148" t="str" cm="1">
        <f t="array" ref="J210">Common_InputFunctions.Utility_DisplayArrayInTable(Fertiliser_SourceData.Fertiliser_Products_Data5(),FertiliserProducts[[#Headers],[Company]], 121)</f>
        <v/>
      </c>
      <c r="K210" s="148" cm="1">
        <f t="array" ref="K210">Common_InputFunctions.Utility_DisplayArrayInTable(Fertiliser_SourceData.Fertiliser_Products_Data5(),FertiliserProducts[[#Headers],[Company]], 121)</f>
        <v>18.600000000000001</v>
      </c>
      <c r="L210" s="148" cm="1">
        <f t="array" ref="L210">Common_InputFunctions.Utility_DisplayArrayInTable(Fertiliser_SourceData.Fertiliser_Products_Data5(),FertiliserProducts[[#Headers],[Company]], 121)</f>
        <v>12.7</v>
      </c>
      <c r="M210" s="148" cm="1">
        <f t="array" ref="M210">Common_InputFunctions.Utility_DisplayArrayInTable(Fertiliser_SourceData.Fertiliser_Products_Data5(),FertiliserProducts[[#Headers],[Company]], 121)</f>
        <v>0</v>
      </c>
      <c r="N210" s="148" cm="1">
        <f t="array" ref="N210">Common_InputFunctions.Utility_DisplayArrayInTable(Fertiliser_SourceData.Fertiliser_Products_Data5(),FertiliserProducts[[#Headers],[Company]], 121)</f>
        <v>6.8</v>
      </c>
      <c r="O210" s="148" t="str" cm="1">
        <f t="array" ref="O210">Common_InputFunctions.Utility_DisplayArrayInTable(Fertiliser_SourceData.Fertiliser_Products_Data5(),FertiliserProducts[[#Headers],[Company]], 121)</f>
        <v>Nitrogen - Generic</v>
      </c>
      <c r="P210" s="148" cm="1">
        <f t="array" ref="P210">Common_InputFunctions.Utility_DisplayArrayInTable(Fertiliser_SourceData.Fertiliser_Products_Data5(),FertiliserProducts[[#Headers],[Company]], 121)</f>
        <v>0.186</v>
      </c>
      <c r="Q210" s="148" t="str" cm="1">
        <f t="array" ref="Q210">Common_InputFunctions.Utility_DisplayArrayInTable(Fertiliser_SourceData.Fertiliser_Products_Data5(),FertiliserProducts[[#Headers],[Company]], 121)</f>
        <v>Phosphorus - Generic</v>
      </c>
      <c r="R210" s="148" cm="1">
        <f t="array" ref="R210">Common_InputFunctions.Utility_DisplayArrayInTable(Fertiliser_SourceData.Fertiliser_Products_Data5(),FertiliserProducts[[#Headers],[Company]], 121)</f>
        <v>0.127</v>
      </c>
      <c r="S210" s="148" t="str" cm="1">
        <f t="array" ref="S210">Common_InputFunctions.Utility_DisplayArrayInTable(Fertiliser_SourceData.Fertiliser_Products_Data5(),FertiliserProducts[[#Headers],[Company]], 121)</f>
        <v>Sulfur - Generic</v>
      </c>
      <c r="T210" s="148" cm="1">
        <f t="array" ref="T210">Common_InputFunctions.Utility_DisplayArrayInTable(Fertiliser_SourceData.Fertiliser_Products_Data5(),FertiliserProducts[[#Headers],[Company]], 121)</f>
        <v>6.8000000000000005E-2</v>
      </c>
      <c r="U210" s="148" t="str" cm="1">
        <f t="array" ref="U210">Common_InputFunctions.Utility_DisplayArrayInTable(Fertiliser_SourceData.Fertiliser_Products_Data5(),FertiliserProducts[[#Headers],[Company]], 121)</f>
        <v>Zinc</v>
      </c>
      <c r="V210" s="148" cm="1">
        <f t="array" ref="V210">Common_InputFunctions.Utility_DisplayArrayInTable(Fertiliser_SourceData.Fertiliser_Products_Data5(),FertiliserProducts[[#Headers],[Company]], 121)</f>
        <v>6.0000000000000001E-3</v>
      </c>
      <c r="W210" s="148" t="str" cm="1">
        <f t="array" ref="W210">Common_InputFunctions.Utility_DisplayArrayInTable(Fertiliser_SourceData.Fertiliser_Products_Data5(),FertiliserProducts[[#Headers],[Company]], 121)</f>
        <v/>
      </c>
      <c r="X210" s="148" t="str" cm="1">
        <f t="array" ref="X210">Common_InputFunctions.Utility_DisplayArrayInTable(Fertiliser_SourceData.Fertiliser_Products_Data5(),FertiliserProducts[[#Headers],[Company]], 121)</f>
        <v/>
      </c>
      <c r="Y210" s="148" t="str" cm="1">
        <f t="array" ref="Y210">Common_InputFunctions.Utility_DisplayArrayInTable(Fertiliser_SourceData.Fertiliser_Products_Data5(),FertiliserProducts[[#Headers],[Company]], 121)</f>
        <v/>
      </c>
      <c r="Z210" s="148" t="str" cm="1">
        <f t="array" ref="Z210">Common_InputFunctions.Utility_DisplayArrayInTable(Fertiliser_SourceData.Fertiliser_Products_Data5(),FertiliserProducts[[#Headers],[Company]], 121)</f>
        <v/>
      </c>
      <c r="AA210" s="148" t="str" cm="1">
        <f t="array" ref="AA210">Common_InputFunctions.Utility_DisplayArrayInTable(Fertiliser_SourceData.Fertiliser_Products_Data5(),FertiliserProducts[[#Headers],[Company]], 121)</f>
        <v/>
      </c>
      <c r="AB210" s="148" t="str" cm="1">
        <f t="array" ref="AB210">Common_InputFunctions.Utility_DisplayArrayInTable(Fertiliser_SourceData.Fertiliser_Products_Data5(),FertiliserProducts[[#Headers],[Company]], 121)</f>
        <v/>
      </c>
      <c r="AC210" s="148" t="str" cm="1">
        <f t="array" ref="AC210">Common_InputFunctions.Utility_DisplayArrayInTable(Fertiliser_SourceData.Fertiliser_Products_Data5(),FertiliserProducts[[#Headers],[Company]], 121)</f>
        <v/>
      </c>
      <c r="AD210" s="148" t="str" cm="1">
        <f t="array" ref="AD210">Common_InputFunctions.Utility_DisplayArrayInTable(Fertiliser_SourceData.Fertiliser_Products_Data5(),FertiliserProducts[[#Headers],[Company]], 121)</f>
        <v/>
      </c>
      <c r="AE210" s="148" t="str" cm="1">
        <f t="array" ref="AE210">Common_InputFunctions.Utility_DisplayArrayInTable(Fertiliser_SourceData.Fertiliser_Products_Data5(),FertiliserProducts[[#Headers],[Company]], 121)</f>
        <v/>
      </c>
      <c r="AF210" s="148" t="str" cm="1">
        <f t="array" ref="AF210">Common_InputFunctions.Utility_DisplayArrayInTable(Fertiliser_SourceData.Fertiliser_Products_Data5(),FertiliserProducts[[#Headers],[Company]], 121)</f>
        <v/>
      </c>
      <c r="AG210" s="148" t="str" cm="1">
        <f t="array" ref="AG210">Common_InputFunctions.Utility_DisplayArrayInTable(Fertiliser_SourceData.Fertiliser_Products_Data5(),FertiliserProducts[[#Headers],[Company]], 121)</f>
        <v/>
      </c>
      <c r="AH210" s="148" t="str" cm="1">
        <f t="array" ref="AH210">Common_InputFunctions.Utility_DisplayArrayInTable(Fertiliser_SourceData.Fertiliser_Products_Data5(),FertiliserProducts[[#Headers],[Company]], 121)</f>
        <v/>
      </c>
    </row>
    <row r="211" spans="1:34" ht="20.100000000000001" customHeight="1" x14ac:dyDescent="0.2">
      <c r="D211" s="148" t="str" cm="1">
        <f t="array" ref="D211">Common_InputFunctions.Utility_DisplayArrayInTable(Fertiliser_SourceData.Fertiliser_Products_Data5(),FertiliserProducts[[#Headers],[Company]], 121)</f>
        <v>Wengfu Australia</v>
      </c>
      <c r="E211" s="148" t="str" cm="1">
        <f t="array" ref="E211">Common_InputFunctions.Utility_DisplayArrayInTable(Fertiliser_SourceData.Fertiliser_Products_Data5(),FertiliserProducts[[#Headers],[Company]], 121)</f>
        <v>Wengfu Booster K</v>
      </c>
      <c r="F211" s="148" t="str" cm="1">
        <f t="array" ref="F211">Common_InputFunctions.Utility_DisplayArrayInTable(Fertiliser_SourceData.Fertiliser_Products_Data5(),FertiliserProducts[[#Headers],[Company]], 121)</f>
        <v>kg</v>
      </c>
      <c r="G211" s="148" cm="1">
        <f t="array" ref="G211">Common_InputFunctions.Utility_DisplayArrayInTable(Fertiliser_SourceData.Fertiliser_Products_Data5(),FertiliserProducts[[#Headers],[Company]], 121)</f>
        <v>1</v>
      </c>
      <c r="H211" s="148" t="str" cm="1">
        <f t="array" ref="H211">Common_InputFunctions.Utility_DisplayArrayInTable(Fertiliser_SourceData.Fertiliser_Products_Data5(),FertiliserProducts[[#Headers],[Company]], 121)</f>
        <v/>
      </c>
      <c r="I211" s="148" t="str" cm="1">
        <f t="array" ref="I211">Common_InputFunctions.Utility_DisplayArrayInTable(Fertiliser_SourceData.Fertiliser_Products_Data5(),FertiliserProducts[[#Headers],[Company]], 121)</f>
        <v/>
      </c>
      <c r="J211" s="148" t="str" cm="1">
        <f t="array" ref="J211">Common_InputFunctions.Utility_DisplayArrayInTable(Fertiliser_SourceData.Fertiliser_Products_Data5(),FertiliserProducts[[#Headers],[Company]], 121)</f>
        <v/>
      </c>
      <c r="K211" s="148" cm="1">
        <f t="array" ref="K211">Common_InputFunctions.Utility_DisplayArrayInTable(Fertiliser_SourceData.Fertiliser_Products_Data5(),FertiliserProducts[[#Headers],[Company]], 121)</f>
        <v>32</v>
      </c>
      <c r="L211" s="148" cm="1">
        <f t="array" ref="L211">Common_InputFunctions.Utility_DisplayArrayInTable(Fertiliser_SourceData.Fertiliser_Products_Data5(),FertiliserProducts[[#Headers],[Company]], 121)</f>
        <v>0</v>
      </c>
      <c r="M211" s="148" cm="1">
        <f t="array" ref="M211">Common_InputFunctions.Utility_DisplayArrayInTable(Fertiliser_SourceData.Fertiliser_Products_Data5(),FertiliserProducts[[#Headers],[Company]], 121)</f>
        <v>11</v>
      </c>
      <c r="N211" s="148" cm="1">
        <f t="array" ref="N211">Common_InputFunctions.Utility_DisplayArrayInTable(Fertiliser_SourceData.Fertiliser_Products_Data5(),FertiliserProducts[[#Headers],[Company]], 121)</f>
        <v>3</v>
      </c>
      <c r="O211" s="148" t="str" cm="1">
        <f t="array" ref="O211">Common_InputFunctions.Utility_DisplayArrayInTable(Fertiliser_SourceData.Fertiliser_Products_Data5(),FertiliserProducts[[#Headers],[Company]], 121)</f>
        <v>Nitrogen - Generic</v>
      </c>
      <c r="P211" s="148" cm="1">
        <f t="array" ref="P211">Common_InputFunctions.Utility_DisplayArrayInTable(Fertiliser_SourceData.Fertiliser_Products_Data5(),FertiliserProducts[[#Headers],[Company]], 121)</f>
        <v>0.32</v>
      </c>
      <c r="Q211" s="148" t="str" cm="1">
        <f t="array" ref="Q211">Common_InputFunctions.Utility_DisplayArrayInTable(Fertiliser_SourceData.Fertiliser_Products_Data5(),FertiliserProducts[[#Headers],[Company]], 121)</f>
        <v>Potassium - Generic</v>
      </c>
      <c r="R211" s="148" cm="1">
        <f t="array" ref="R211">Common_InputFunctions.Utility_DisplayArrayInTable(Fertiliser_SourceData.Fertiliser_Products_Data5(),FertiliserProducts[[#Headers],[Company]], 121)</f>
        <v>0.11</v>
      </c>
      <c r="S211" s="148" t="str" cm="1">
        <f t="array" ref="S211">Common_InputFunctions.Utility_DisplayArrayInTable(Fertiliser_SourceData.Fertiliser_Products_Data5(),FertiliserProducts[[#Headers],[Company]], 121)</f>
        <v>Sulfur - Generic</v>
      </c>
      <c r="T211" s="148" cm="1">
        <f t="array" ref="T211">Common_InputFunctions.Utility_DisplayArrayInTable(Fertiliser_SourceData.Fertiliser_Products_Data5(),FertiliserProducts[[#Headers],[Company]], 121)</f>
        <v>0.03</v>
      </c>
      <c r="U211" s="148" t="str" cm="1">
        <f t="array" ref="U211">Common_InputFunctions.Utility_DisplayArrayInTable(Fertiliser_SourceData.Fertiliser_Products_Data5(),FertiliserProducts[[#Headers],[Company]], 121)</f>
        <v/>
      </c>
      <c r="V211" s="148" t="str" cm="1">
        <f t="array" ref="V211">Common_InputFunctions.Utility_DisplayArrayInTable(Fertiliser_SourceData.Fertiliser_Products_Data5(),FertiliserProducts[[#Headers],[Company]], 121)</f>
        <v/>
      </c>
      <c r="W211" s="148" t="str" cm="1">
        <f t="array" ref="W211">Common_InputFunctions.Utility_DisplayArrayInTable(Fertiliser_SourceData.Fertiliser_Products_Data5(),FertiliserProducts[[#Headers],[Company]], 121)</f>
        <v/>
      </c>
      <c r="X211" s="148" t="str" cm="1">
        <f t="array" ref="X211">Common_InputFunctions.Utility_DisplayArrayInTable(Fertiliser_SourceData.Fertiliser_Products_Data5(),FertiliserProducts[[#Headers],[Company]], 121)</f>
        <v/>
      </c>
      <c r="Y211" s="148" t="str" cm="1">
        <f t="array" ref="Y211">Common_InputFunctions.Utility_DisplayArrayInTable(Fertiliser_SourceData.Fertiliser_Products_Data5(),FertiliserProducts[[#Headers],[Company]], 121)</f>
        <v/>
      </c>
      <c r="Z211" s="148" t="str" cm="1">
        <f t="array" ref="Z211">Common_InputFunctions.Utility_DisplayArrayInTable(Fertiliser_SourceData.Fertiliser_Products_Data5(),FertiliserProducts[[#Headers],[Company]], 121)</f>
        <v/>
      </c>
      <c r="AA211" s="148" t="str" cm="1">
        <f t="array" ref="AA211">Common_InputFunctions.Utility_DisplayArrayInTable(Fertiliser_SourceData.Fertiliser_Products_Data5(),FertiliserProducts[[#Headers],[Company]], 121)</f>
        <v/>
      </c>
      <c r="AB211" s="148" t="str" cm="1">
        <f t="array" ref="AB211">Common_InputFunctions.Utility_DisplayArrayInTable(Fertiliser_SourceData.Fertiliser_Products_Data5(),FertiliserProducts[[#Headers],[Company]], 121)</f>
        <v/>
      </c>
      <c r="AC211" s="148" t="str" cm="1">
        <f t="array" ref="AC211">Common_InputFunctions.Utility_DisplayArrayInTable(Fertiliser_SourceData.Fertiliser_Products_Data5(),FertiliserProducts[[#Headers],[Company]], 121)</f>
        <v/>
      </c>
      <c r="AD211" s="148" t="str" cm="1">
        <f t="array" ref="AD211">Common_InputFunctions.Utility_DisplayArrayInTable(Fertiliser_SourceData.Fertiliser_Products_Data5(),FertiliserProducts[[#Headers],[Company]], 121)</f>
        <v/>
      </c>
      <c r="AE211" s="148" t="str" cm="1">
        <f t="array" ref="AE211">Common_InputFunctions.Utility_DisplayArrayInTable(Fertiliser_SourceData.Fertiliser_Products_Data5(),FertiliserProducts[[#Headers],[Company]], 121)</f>
        <v/>
      </c>
      <c r="AF211" s="148" t="str" cm="1">
        <f t="array" ref="AF211">Common_InputFunctions.Utility_DisplayArrayInTable(Fertiliser_SourceData.Fertiliser_Products_Data5(),FertiliserProducts[[#Headers],[Company]], 121)</f>
        <v/>
      </c>
      <c r="AG211" s="148" t="str" cm="1">
        <f t="array" ref="AG211">Common_InputFunctions.Utility_DisplayArrayInTable(Fertiliser_SourceData.Fertiliser_Products_Data5(),FertiliserProducts[[#Headers],[Company]], 121)</f>
        <v/>
      </c>
      <c r="AH211" s="148" t="str" cm="1">
        <f t="array" ref="AH211">Common_InputFunctions.Utility_DisplayArrayInTable(Fertiliser_SourceData.Fertiliser_Products_Data5(),FertiliserProducts[[#Headers],[Company]], 121)</f>
        <v/>
      </c>
    </row>
    <row r="212" spans="1:34" ht="20.100000000000001" customHeight="1" x14ac:dyDescent="0.2">
      <c r="D212" s="148" t="str" cm="1">
        <f t="array" ref="D212">Common_InputFunctions.Utility_DisplayArrayInTable(Fertiliser_SourceData.Fertiliser_Products_Data5(),FertiliserProducts[[#Headers],[Company]], 121)</f>
        <v>Wengfu Australia</v>
      </c>
      <c r="E212" s="148" t="str" cm="1">
        <f t="array" ref="E212">Common_InputFunctions.Utility_DisplayArrayInTable(Fertiliser_SourceData.Fertiliser_Products_Data5(),FertiliserProducts[[#Headers],[Company]], 121)</f>
        <v>Wengfu Booster Rich 1</v>
      </c>
      <c r="F212" s="148" t="str" cm="1">
        <f t="array" ref="F212">Common_InputFunctions.Utility_DisplayArrayInTable(Fertiliser_SourceData.Fertiliser_Products_Data5(),FertiliserProducts[[#Headers],[Company]], 121)</f>
        <v>kg</v>
      </c>
      <c r="G212" s="148" cm="1">
        <f t="array" ref="G212">Common_InputFunctions.Utility_DisplayArrayInTable(Fertiliser_SourceData.Fertiliser_Products_Data5(),FertiliserProducts[[#Headers],[Company]], 121)</f>
        <v>1</v>
      </c>
      <c r="H212" s="148" t="str" cm="1">
        <f t="array" ref="H212">Common_InputFunctions.Utility_DisplayArrayInTable(Fertiliser_SourceData.Fertiliser_Products_Data5(),FertiliserProducts[[#Headers],[Company]], 121)</f>
        <v/>
      </c>
      <c r="I212" s="148" t="str" cm="1">
        <f t="array" ref="I212">Common_InputFunctions.Utility_DisplayArrayInTable(Fertiliser_SourceData.Fertiliser_Products_Data5(),FertiliserProducts[[#Headers],[Company]], 121)</f>
        <v/>
      </c>
      <c r="J212" s="148" t="str" cm="1">
        <f t="array" ref="J212">Common_InputFunctions.Utility_DisplayArrayInTable(Fertiliser_SourceData.Fertiliser_Products_Data5(),FertiliserProducts[[#Headers],[Company]], 121)</f>
        <v/>
      </c>
      <c r="K212" s="148" cm="1">
        <f t="array" ref="K212">Common_InputFunctions.Utility_DisplayArrayInTable(Fertiliser_SourceData.Fertiliser_Products_Data5(),FertiliserProducts[[#Headers],[Company]], 121)</f>
        <v>31</v>
      </c>
      <c r="L212" s="148" cm="1">
        <f t="array" ref="L212">Common_InputFunctions.Utility_DisplayArrayInTable(Fertiliser_SourceData.Fertiliser_Products_Data5(),FertiliserProducts[[#Headers],[Company]], 121)</f>
        <v>6</v>
      </c>
      <c r="M212" s="148" cm="1">
        <f t="array" ref="M212">Common_InputFunctions.Utility_DisplayArrayInTable(Fertiliser_SourceData.Fertiliser_Products_Data5(),FertiliserProducts[[#Headers],[Company]], 121)</f>
        <v>0</v>
      </c>
      <c r="N212" s="148" cm="1">
        <f t="array" ref="N212">Common_InputFunctions.Utility_DisplayArrayInTable(Fertiliser_SourceData.Fertiliser_Products_Data5(),FertiliserProducts[[#Headers],[Company]], 121)</f>
        <v>6</v>
      </c>
      <c r="O212" s="148" t="str" cm="1">
        <f t="array" ref="O212">Common_InputFunctions.Utility_DisplayArrayInTable(Fertiliser_SourceData.Fertiliser_Products_Data5(),FertiliserProducts[[#Headers],[Company]], 121)</f>
        <v>Nitrogen - Generic</v>
      </c>
      <c r="P212" s="148" cm="1">
        <f t="array" ref="P212">Common_InputFunctions.Utility_DisplayArrayInTable(Fertiliser_SourceData.Fertiliser_Products_Data5(),FertiliserProducts[[#Headers],[Company]], 121)</f>
        <v>0.31</v>
      </c>
      <c r="Q212" s="148" t="str" cm="1">
        <f t="array" ref="Q212">Common_InputFunctions.Utility_DisplayArrayInTable(Fertiliser_SourceData.Fertiliser_Products_Data5(),FertiliserProducts[[#Headers],[Company]], 121)</f>
        <v>Phosphorus - Generic</v>
      </c>
      <c r="R212" s="148" cm="1">
        <f t="array" ref="R212">Common_InputFunctions.Utility_DisplayArrayInTable(Fertiliser_SourceData.Fertiliser_Products_Data5(),FertiliserProducts[[#Headers],[Company]], 121)</f>
        <v>0.06</v>
      </c>
      <c r="S212" s="148" t="str" cm="1">
        <f t="array" ref="S212">Common_InputFunctions.Utility_DisplayArrayInTable(Fertiliser_SourceData.Fertiliser_Products_Data5(),FertiliserProducts[[#Headers],[Company]], 121)</f>
        <v>Sulfur - Generic</v>
      </c>
      <c r="T212" s="148" cm="1">
        <f t="array" ref="T212">Common_InputFunctions.Utility_DisplayArrayInTable(Fertiliser_SourceData.Fertiliser_Products_Data5(),FertiliserProducts[[#Headers],[Company]], 121)</f>
        <v>0.06</v>
      </c>
      <c r="U212" s="148" t="str" cm="1">
        <f t="array" ref="U212">Common_InputFunctions.Utility_DisplayArrayInTable(Fertiliser_SourceData.Fertiliser_Products_Data5(),FertiliserProducts[[#Headers],[Company]], 121)</f>
        <v/>
      </c>
      <c r="V212" s="148" t="str" cm="1">
        <f t="array" ref="V212">Common_InputFunctions.Utility_DisplayArrayInTable(Fertiliser_SourceData.Fertiliser_Products_Data5(),FertiliserProducts[[#Headers],[Company]], 121)</f>
        <v/>
      </c>
      <c r="W212" s="148" t="str" cm="1">
        <f t="array" ref="W212">Common_InputFunctions.Utility_DisplayArrayInTable(Fertiliser_SourceData.Fertiliser_Products_Data5(),FertiliserProducts[[#Headers],[Company]], 121)</f>
        <v/>
      </c>
      <c r="X212" s="148" t="str" cm="1">
        <f t="array" ref="X212">Common_InputFunctions.Utility_DisplayArrayInTable(Fertiliser_SourceData.Fertiliser_Products_Data5(),FertiliserProducts[[#Headers],[Company]], 121)</f>
        <v/>
      </c>
      <c r="Y212" s="148" t="str" cm="1">
        <f t="array" ref="Y212">Common_InputFunctions.Utility_DisplayArrayInTable(Fertiliser_SourceData.Fertiliser_Products_Data5(),FertiliserProducts[[#Headers],[Company]], 121)</f>
        <v/>
      </c>
      <c r="Z212" s="148" t="str" cm="1">
        <f t="array" ref="Z212">Common_InputFunctions.Utility_DisplayArrayInTable(Fertiliser_SourceData.Fertiliser_Products_Data5(),FertiliserProducts[[#Headers],[Company]], 121)</f>
        <v/>
      </c>
      <c r="AA212" s="148" t="str" cm="1">
        <f t="array" ref="AA212">Common_InputFunctions.Utility_DisplayArrayInTable(Fertiliser_SourceData.Fertiliser_Products_Data5(),FertiliserProducts[[#Headers],[Company]], 121)</f>
        <v/>
      </c>
      <c r="AB212" s="148" t="str" cm="1">
        <f t="array" ref="AB212">Common_InputFunctions.Utility_DisplayArrayInTable(Fertiliser_SourceData.Fertiliser_Products_Data5(),FertiliserProducts[[#Headers],[Company]], 121)</f>
        <v/>
      </c>
      <c r="AC212" s="148" t="str" cm="1">
        <f t="array" ref="AC212">Common_InputFunctions.Utility_DisplayArrayInTable(Fertiliser_SourceData.Fertiliser_Products_Data5(),FertiliserProducts[[#Headers],[Company]], 121)</f>
        <v/>
      </c>
      <c r="AD212" s="148" t="str" cm="1">
        <f t="array" ref="AD212">Common_InputFunctions.Utility_DisplayArrayInTable(Fertiliser_SourceData.Fertiliser_Products_Data5(),FertiliserProducts[[#Headers],[Company]], 121)</f>
        <v/>
      </c>
      <c r="AE212" s="148" t="str" cm="1">
        <f t="array" ref="AE212">Common_InputFunctions.Utility_DisplayArrayInTable(Fertiliser_SourceData.Fertiliser_Products_Data5(),FertiliserProducts[[#Headers],[Company]], 121)</f>
        <v/>
      </c>
      <c r="AF212" s="148" t="str" cm="1">
        <f t="array" ref="AF212">Common_InputFunctions.Utility_DisplayArrayInTable(Fertiliser_SourceData.Fertiliser_Products_Data5(),FertiliserProducts[[#Headers],[Company]], 121)</f>
        <v/>
      </c>
      <c r="AG212" s="148" t="str" cm="1">
        <f t="array" ref="AG212">Common_InputFunctions.Utility_DisplayArrayInTable(Fertiliser_SourceData.Fertiliser_Products_Data5(),FertiliserProducts[[#Headers],[Company]], 121)</f>
        <v/>
      </c>
      <c r="AH212" s="148" t="str" cm="1">
        <f t="array" ref="AH212">Common_InputFunctions.Utility_DisplayArrayInTable(Fertiliser_SourceData.Fertiliser_Products_Data5(),FertiliserProducts[[#Headers],[Company]], 121)</f>
        <v/>
      </c>
    </row>
    <row r="213" spans="1:34" ht="20.100000000000001" customHeight="1" x14ac:dyDescent="0.2">
      <c r="D213" s="148" t="str" cm="1">
        <f t="array" ref="D213">Common_InputFunctions.Utility_DisplayArrayInTable(Fertiliser_SourceData.Fertiliser_Products_Data5(),FertiliserProducts[[#Headers],[Company]], 121)</f>
        <v>Wengfu Australia</v>
      </c>
      <c r="E213" s="148" t="str" cm="1">
        <f t="array" ref="E213">Common_InputFunctions.Utility_DisplayArrayInTable(Fertiliser_SourceData.Fertiliser_Products_Data5(),FertiliserProducts[[#Headers],[Company]], 121)</f>
        <v>Wengfu Booster Grass DAP</v>
      </c>
      <c r="F213" s="148" t="str" cm="1">
        <f t="array" ref="F213">Common_InputFunctions.Utility_DisplayArrayInTable(Fertiliser_SourceData.Fertiliser_Products_Data5(),FertiliserProducts[[#Headers],[Company]], 121)</f>
        <v>kg</v>
      </c>
      <c r="G213" s="148" cm="1">
        <f t="array" ref="G213">Common_InputFunctions.Utility_DisplayArrayInTable(Fertiliser_SourceData.Fertiliser_Products_Data5(),FertiliserProducts[[#Headers],[Company]], 121)</f>
        <v>1</v>
      </c>
      <c r="H213" s="148" t="str" cm="1">
        <f t="array" ref="H213">Common_InputFunctions.Utility_DisplayArrayInTable(Fertiliser_SourceData.Fertiliser_Products_Data5(),FertiliserProducts[[#Headers],[Company]], 121)</f>
        <v/>
      </c>
      <c r="I213" s="148" t="str" cm="1">
        <f t="array" ref="I213">Common_InputFunctions.Utility_DisplayArrayInTable(Fertiliser_SourceData.Fertiliser_Products_Data5(),FertiliserProducts[[#Headers],[Company]], 121)</f>
        <v/>
      </c>
      <c r="J213" s="148" t="str" cm="1">
        <f t="array" ref="J213">Common_InputFunctions.Utility_DisplayArrayInTable(Fertiliser_SourceData.Fertiliser_Products_Data5(),FertiliserProducts[[#Headers],[Company]], 121)</f>
        <v/>
      </c>
      <c r="K213" s="148" cm="1">
        <f t="array" ref="K213">Common_InputFunctions.Utility_DisplayArrayInTable(Fertiliser_SourceData.Fertiliser_Products_Data5(),FertiliserProducts[[#Headers],[Company]], 121)</f>
        <v>21</v>
      </c>
      <c r="L213" s="148" cm="1">
        <f t="array" ref="L213">Common_InputFunctions.Utility_DisplayArrayInTable(Fertiliser_SourceData.Fertiliser_Products_Data5(),FertiliserProducts[[#Headers],[Company]], 121)</f>
        <v>4</v>
      </c>
      <c r="M213" s="148" cm="1">
        <f t="array" ref="M213">Common_InputFunctions.Utility_DisplayArrayInTable(Fertiliser_SourceData.Fertiliser_Products_Data5(),FertiliserProducts[[#Headers],[Company]], 121)</f>
        <v>8</v>
      </c>
      <c r="N213" s="148" cm="1">
        <f t="array" ref="N213">Common_InputFunctions.Utility_DisplayArrayInTable(Fertiliser_SourceData.Fertiliser_Products_Data5(),FertiliserProducts[[#Headers],[Company]], 121)</f>
        <v>7</v>
      </c>
      <c r="O213" s="148" t="str" cm="1">
        <f t="array" ref="O213">Common_InputFunctions.Utility_DisplayArrayInTable(Fertiliser_SourceData.Fertiliser_Products_Data5(),FertiliserProducts[[#Headers],[Company]], 121)</f>
        <v>Nitrogen - Generic</v>
      </c>
      <c r="P213" s="148" cm="1">
        <f t="array" ref="P213">Common_InputFunctions.Utility_DisplayArrayInTable(Fertiliser_SourceData.Fertiliser_Products_Data5(),FertiliserProducts[[#Headers],[Company]], 121)</f>
        <v>0.21</v>
      </c>
      <c r="Q213" s="148" t="str" cm="1">
        <f t="array" ref="Q213">Common_InputFunctions.Utility_DisplayArrayInTable(Fertiliser_SourceData.Fertiliser_Products_Data5(),FertiliserProducts[[#Headers],[Company]], 121)</f>
        <v>Phosphorus - Generic</v>
      </c>
      <c r="R213" s="148" cm="1">
        <f t="array" ref="R213">Common_InputFunctions.Utility_DisplayArrayInTable(Fertiliser_SourceData.Fertiliser_Products_Data5(),FertiliserProducts[[#Headers],[Company]], 121)</f>
        <v>0.04</v>
      </c>
      <c r="S213" s="148" t="str" cm="1">
        <f t="array" ref="S213">Common_InputFunctions.Utility_DisplayArrayInTable(Fertiliser_SourceData.Fertiliser_Products_Data5(),FertiliserProducts[[#Headers],[Company]], 121)</f>
        <v>Potassium - Generic</v>
      </c>
      <c r="T213" s="148" cm="1">
        <f t="array" ref="T213">Common_InputFunctions.Utility_DisplayArrayInTable(Fertiliser_SourceData.Fertiliser_Products_Data5(),FertiliserProducts[[#Headers],[Company]], 121)</f>
        <v>0.08</v>
      </c>
      <c r="U213" s="148" t="str" cm="1">
        <f t="array" ref="U213">Common_InputFunctions.Utility_DisplayArrayInTable(Fertiliser_SourceData.Fertiliser_Products_Data5(),FertiliserProducts[[#Headers],[Company]], 121)</f>
        <v>Sulfur - Generic</v>
      </c>
      <c r="V213" s="148" cm="1">
        <f t="array" ref="V213">Common_InputFunctions.Utility_DisplayArrayInTable(Fertiliser_SourceData.Fertiliser_Products_Data5(),FertiliserProducts[[#Headers],[Company]], 121)</f>
        <v>7.0000000000000007E-2</v>
      </c>
      <c r="W213" s="148" t="str" cm="1">
        <f t="array" ref="W213">Common_InputFunctions.Utility_DisplayArrayInTable(Fertiliser_SourceData.Fertiliser_Products_Data5(),FertiliserProducts[[#Headers],[Company]], 121)</f>
        <v/>
      </c>
      <c r="X213" s="148" t="str" cm="1">
        <f t="array" ref="X213">Common_InputFunctions.Utility_DisplayArrayInTable(Fertiliser_SourceData.Fertiliser_Products_Data5(),FertiliserProducts[[#Headers],[Company]], 121)</f>
        <v/>
      </c>
      <c r="Y213" s="148" t="str" cm="1">
        <f t="array" ref="Y213">Common_InputFunctions.Utility_DisplayArrayInTable(Fertiliser_SourceData.Fertiliser_Products_Data5(),FertiliserProducts[[#Headers],[Company]], 121)</f>
        <v/>
      </c>
      <c r="Z213" s="148" t="str" cm="1">
        <f t="array" ref="Z213">Common_InputFunctions.Utility_DisplayArrayInTable(Fertiliser_SourceData.Fertiliser_Products_Data5(),FertiliserProducts[[#Headers],[Company]], 121)</f>
        <v/>
      </c>
      <c r="AA213" s="148" t="str" cm="1">
        <f t="array" ref="AA213">Common_InputFunctions.Utility_DisplayArrayInTable(Fertiliser_SourceData.Fertiliser_Products_Data5(),FertiliserProducts[[#Headers],[Company]], 121)</f>
        <v/>
      </c>
      <c r="AB213" s="148" t="str" cm="1">
        <f t="array" ref="AB213">Common_InputFunctions.Utility_DisplayArrayInTable(Fertiliser_SourceData.Fertiliser_Products_Data5(),FertiliserProducts[[#Headers],[Company]], 121)</f>
        <v/>
      </c>
      <c r="AC213" s="148" t="str" cm="1">
        <f t="array" ref="AC213">Common_InputFunctions.Utility_DisplayArrayInTable(Fertiliser_SourceData.Fertiliser_Products_Data5(),FertiliserProducts[[#Headers],[Company]], 121)</f>
        <v/>
      </c>
      <c r="AD213" s="148" t="str" cm="1">
        <f t="array" ref="AD213">Common_InputFunctions.Utility_DisplayArrayInTable(Fertiliser_SourceData.Fertiliser_Products_Data5(),FertiliserProducts[[#Headers],[Company]], 121)</f>
        <v/>
      </c>
      <c r="AE213" s="148" t="str" cm="1">
        <f t="array" ref="AE213">Common_InputFunctions.Utility_DisplayArrayInTable(Fertiliser_SourceData.Fertiliser_Products_Data5(),FertiliserProducts[[#Headers],[Company]], 121)</f>
        <v/>
      </c>
      <c r="AF213" s="148" t="str" cm="1">
        <f t="array" ref="AF213">Common_InputFunctions.Utility_DisplayArrayInTable(Fertiliser_SourceData.Fertiliser_Products_Data5(),FertiliserProducts[[#Headers],[Company]], 121)</f>
        <v/>
      </c>
      <c r="AG213" s="148" t="str" cm="1">
        <f t="array" ref="AG213">Common_InputFunctions.Utility_DisplayArrayInTable(Fertiliser_SourceData.Fertiliser_Products_Data5(),FertiliserProducts[[#Headers],[Company]], 121)</f>
        <v/>
      </c>
      <c r="AH213" s="148" t="str" cm="1">
        <f t="array" ref="AH213">Common_InputFunctions.Utility_DisplayArrayInTable(Fertiliser_SourceData.Fertiliser_Products_Data5(),FertiliserProducts[[#Headers],[Company]], 121)</f>
        <v/>
      </c>
    </row>
    <row r="214" spans="1:34" ht="20.100000000000001" customHeight="1" x14ac:dyDescent="0.2">
      <c r="D214" s="148" t="str" cm="1">
        <f t="array" ref="D214">Common_InputFunctions.Utility_DisplayArrayInTable(Fertiliser_SourceData.Fertiliser_Products_Data5(),FertiliserProducts[[#Headers],[Company]], 121)</f>
        <v>Wengfu Australia</v>
      </c>
      <c r="E214" s="148" t="str" cm="1">
        <f t="array" ref="E214">Common_InputFunctions.Utility_DisplayArrayInTable(Fertiliser_SourceData.Fertiliser_Products_Data5(),FertiliserProducts[[#Headers],[Company]], 121)</f>
        <v>Wengfu Aftergraze</v>
      </c>
      <c r="F214" s="148" t="str" cm="1">
        <f t="array" ref="F214">Common_InputFunctions.Utility_DisplayArrayInTable(Fertiliser_SourceData.Fertiliser_Products_Data5(),FertiliserProducts[[#Headers],[Company]], 121)</f>
        <v>kg</v>
      </c>
      <c r="G214" s="148" cm="1">
        <f t="array" ref="G214">Common_InputFunctions.Utility_DisplayArrayInTable(Fertiliser_SourceData.Fertiliser_Products_Data5(),FertiliserProducts[[#Headers],[Company]], 121)</f>
        <v>1</v>
      </c>
      <c r="H214" s="148" t="str" cm="1">
        <f t="array" ref="H214">Common_InputFunctions.Utility_DisplayArrayInTable(Fertiliser_SourceData.Fertiliser_Products_Data5(),FertiliserProducts[[#Headers],[Company]], 121)</f>
        <v/>
      </c>
      <c r="I214" s="148" t="str" cm="1">
        <f t="array" ref="I214">Common_InputFunctions.Utility_DisplayArrayInTable(Fertiliser_SourceData.Fertiliser_Products_Data5(),FertiliserProducts[[#Headers],[Company]], 121)</f>
        <v/>
      </c>
      <c r="J214" s="148" t="str" cm="1">
        <f t="array" ref="J214">Common_InputFunctions.Utility_DisplayArrayInTable(Fertiliser_SourceData.Fertiliser_Products_Data5(),FertiliserProducts[[#Headers],[Company]], 121)</f>
        <v/>
      </c>
      <c r="K214" s="148" cm="1">
        <f t="array" ref="K214">Common_InputFunctions.Utility_DisplayArrayInTable(Fertiliser_SourceData.Fertiliser_Products_Data5(),FertiliserProducts[[#Headers],[Company]], 121)</f>
        <v>23</v>
      </c>
      <c r="L214" s="148" cm="1">
        <f t="array" ref="L214">Common_InputFunctions.Utility_DisplayArrayInTable(Fertiliser_SourceData.Fertiliser_Products_Data5(),FertiliserProducts[[#Headers],[Company]], 121)</f>
        <v>0</v>
      </c>
      <c r="M214" s="148" cm="1">
        <f t="array" ref="M214">Common_InputFunctions.Utility_DisplayArrayInTable(Fertiliser_SourceData.Fertiliser_Products_Data5(),FertiliserProducts[[#Headers],[Company]], 121)</f>
        <v>25</v>
      </c>
      <c r="N214" s="148" cm="1">
        <f t="array" ref="N214">Common_InputFunctions.Utility_DisplayArrayInTable(Fertiliser_SourceData.Fertiliser_Products_Data5(),FertiliserProducts[[#Headers],[Company]], 121)</f>
        <v>0</v>
      </c>
      <c r="O214" s="148" t="str" cm="1">
        <f t="array" ref="O214">Common_InputFunctions.Utility_DisplayArrayInTable(Fertiliser_SourceData.Fertiliser_Products_Data5(),FertiliserProducts[[#Headers],[Company]], 121)</f>
        <v>Nitrogen - Generic</v>
      </c>
      <c r="P214" s="148" cm="1">
        <f t="array" ref="P214">Common_InputFunctions.Utility_DisplayArrayInTable(Fertiliser_SourceData.Fertiliser_Products_Data5(),FertiliserProducts[[#Headers],[Company]], 121)</f>
        <v>0.23</v>
      </c>
      <c r="Q214" s="148" t="str" cm="1">
        <f t="array" ref="Q214">Common_InputFunctions.Utility_DisplayArrayInTable(Fertiliser_SourceData.Fertiliser_Products_Data5(),FertiliserProducts[[#Headers],[Company]], 121)</f>
        <v>Potassium - Generic</v>
      </c>
      <c r="R214" s="148" cm="1">
        <f t="array" ref="R214">Common_InputFunctions.Utility_DisplayArrayInTable(Fertiliser_SourceData.Fertiliser_Products_Data5(),FertiliserProducts[[#Headers],[Company]], 121)</f>
        <v>0.25</v>
      </c>
      <c r="S214" s="148" t="str" cm="1">
        <f t="array" ref="S214">Common_InputFunctions.Utility_DisplayArrayInTable(Fertiliser_SourceData.Fertiliser_Products_Data5(),FertiliserProducts[[#Headers],[Company]], 121)</f>
        <v/>
      </c>
      <c r="T214" s="148" t="str" cm="1">
        <f t="array" ref="T214">Common_InputFunctions.Utility_DisplayArrayInTable(Fertiliser_SourceData.Fertiliser_Products_Data5(),FertiliserProducts[[#Headers],[Company]], 121)</f>
        <v/>
      </c>
      <c r="U214" s="148" t="str" cm="1">
        <f t="array" ref="U214">Common_InputFunctions.Utility_DisplayArrayInTable(Fertiliser_SourceData.Fertiliser_Products_Data5(),FertiliserProducts[[#Headers],[Company]], 121)</f>
        <v/>
      </c>
      <c r="V214" s="148" t="str" cm="1">
        <f t="array" ref="V214">Common_InputFunctions.Utility_DisplayArrayInTable(Fertiliser_SourceData.Fertiliser_Products_Data5(),FertiliserProducts[[#Headers],[Company]], 121)</f>
        <v/>
      </c>
      <c r="W214" s="148" t="str" cm="1">
        <f t="array" ref="W214">Common_InputFunctions.Utility_DisplayArrayInTable(Fertiliser_SourceData.Fertiliser_Products_Data5(),FertiliserProducts[[#Headers],[Company]], 121)</f>
        <v/>
      </c>
      <c r="X214" s="148" t="str" cm="1">
        <f t="array" ref="X214">Common_InputFunctions.Utility_DisplayArrayInTable(Fertiliser_SourceData.Fertiliser_Products_Data5(),FertiliserProducts[[#Headers],[Company]], 121)</f>
        <v/>
      </c>
      <c r="Y214" s="148" t="str" cm="1">
        <f t="array" ref="Y214">Common_InputFunctions.Utility_DisplayArrayInTable(Fertiliser_SourceData.Fertiliser_Products_Data5(),FertiliserProducts[[#Headers],[Company]], 121)</f>
        <v/>
      </c>
      <c r="Z214" s="148" t="str" cm="1">
        <f t="array" ref="Z214">Common_InputFunctions.Utility_DisplayArrayInTable(Fertiliser_SourceData.Fertiliser_Products_Data5(),FertiliserProducts[[#Headers],[Company]], 121)</f>
        <v/>
      </c>
      <c r="AA214" s="148" t="str" cm="1">
        <f t="array" ref="AA214">Common_InputFunctions.Utility_DisplayArrayInTable(Fertiliser_SourceData.Fertiliser_Products_Data5(),FertiliserProducts[[#Headers],[Company]], 121)</f>
        <v/>
      </c>
      <c r="AB214" s="148" t="str" cm="1">
        <f t="array" ref="AB214">Common_InputFunctions.Utility_DisplayArrayInTable(Fertiliser_SourceData.Fertiliser_Products_Data5(),FertiliserProducts[[#Headers],[Company]], 121)</f>
        <v/>
      </c>
      <c r="AC214" s="148" t="str" cm="1">
        <f t="array" ref="AC214">Common_InputFunctions.Utility_DisplayArrayInTable(Fertiliser_SourceData.Fertiliser_Products_Data5(),FertiliserProducts[[#Headers],[Company]], 121)</f>
        <v/>
      </c>
      <c r="AD214" s="148" t="str" cm="1">
        <f t="array" ref="AD214">Common_InputFunctions.Utility_DisplayArrayInTable(Fertiliser_SourceData.Fertiliser_Products_Data5(),FertiliserProducts[[#Headers],[Company]], 121)</f>
        <v/>
      </c>
      <c r="AE214" s="148" t="str" cm="1">
        <f t="array" ref="AE214">Common_InputFunctions.Utility_DisplayArrayInTable(Fertiliser_SourceData.Fertiliser_Products_Data5(),FertiliserProducts[[#Headers],[Company]], 121)</f>
        <v/>
      </c>
      <c r="AF214" s="148" t="str" cm="1">
        <f t="array" ref="AF214">Common_InputFunctions.Utility_DisplayArrayInTable(Fertiliser_SourceData.Fertiliser_Products_Data5(),FertiliserProducts[[#Headers],[Company]], 121)</f>
        <v/>
      </c>
      <c r="AG214" s="148" t="str" cm="1">
        <f t="array" ref="AG214">Common_InputFunctions.Utility_DisplayArrayInTable(Fertiliser_SourceData.Fertiliser_Products_Data5(),FertiliserProducts[[#Headers],[Company]], 121)</f>
        <v/>
      </c>
      <c r="AH214" s="148" t="str" cm="1">
        <f t="array" ref="AH214">Common_InputFunctions.Utility_DisplayArrayInTable(Fertiliser_SourceData.Fertiliser_Products_Data5(),FertiliserProducts[[#Headers],[Company]], 121)</f>
        <v/>
      </c>
    </row>
    <row r="215" spans="1:34" ht="20.100000000000001" customHeight="1" x14ac:dyDescent="0.2">
      <c r="D215" s="148" t="str" cm="1">
        <f t="array" ref="D215">Common_InputFunctions.Utility_DisplayArrayInTable(Fertiliser_SourceData.Fertiliser_Products_Data5(),FertiliserProducts[[#Headers],[Company]], 121)</f>
        <v>Wengfu Australia</v>
      </c>
      <c r="E215" s="148" t="str" cm="1">
        <f t="array" ref="E215">Common_InputFunctions.Utility_DisplayArrayInTable(Fertiliser_SourceData.Fertiliser_Products_Data5(),FertiliserProducts[[#Headers],[Company]], 121)</f>
        <v>Wengfu Sidedress</v>
      </c>
      <c r="F215" s="148" t="str" cm="1">
        <f t="array" ref="F215">Common_InputFunctions.Utility_DisplayArrayInTable(Fertiliser_SourceData.Fertiliser_Products_Data5(),FertiliserProducts[[#Headers],[Company]], 121)</f>
        <v>kg</v>
      </c>
      <c r="G215" s="148" cm="1">
        <f t="array" ref="G215">Common_InputFunctions.Utility_DisplayArrayInTable(Fertiliser_SourceData.Fertiliser_Products_Data5(),FertiliserProducts[[#Headers],[Company]], 121)</f>
        <v>1</v>
      </c>
      <c r="H215" s="148" t="str" cm="1">
        <f t="array" ref="H215">Common_InputFunctions.Utility_DisplayArrayInTable(Fertiliser_SourceData.Fertiliser_Products_Data5(),FertiliserProducts[[#Headers],[Company]], 121)</f>
        <v/>
      </c>
      <c r="I215" s="148" t="str" cm="1">
        <f t="array" ref="I215">Common_InputFunctions.Utility_DisplayArrayInTable(Fertiliser_SourceData.Fertiliser_Products_Data5(),FertiliserProducts[[#Headers],[Company]], 121)</f>
        <v/>
      </c>
      <c r="J215" s="148" t="str" cm="1">
        <f t="array" ref="J215">Common_InputFunctions.Utility_DisplayArrayInTable(Fertiliser_SourceData.Fertiliser_Products_Data5(),FertiliserProducts[[#Headers],[Company]], 121)</f>
        <v/>
      </c>
      <c r="K215" s="148" cm="1">
        <f t="array" ref="K215">Common_InputFunctions.Utility_DisplayArrayInTable(Fertiliser_SourceData.Fertiliser_Products_Data5(),FertiliserProducts[[#Headers],[Company]], 121)</f>
        <v>25</v>
      </c>
      <c r="L215" s="148" cm="1">
        <f t="array" ref="L215">Common_InputFunctions.Utility_DisplayArrayInTable(Fertiliser_SourceData.Fertiliser_Products_Data5(),FertiliserProducts[[#Headers],[Company]], 121)</f>
        <v>4</v>
      </c>
      <c r="M215" s="148" cm="1">
        <f t="array" ref="M215">Common_InputFunctions.Utility_DisplayArrayInTable(Fertiliser_SourceData.Fertiliser_Products_Data5(),FertiliserProducts[[#Headers],[Company]], 121)</f>
        <v>13</v>
      </c>
      <c r="N215" s="148" cm="1">
        <f t="array" ref="N215">Common_InputFunctions.Utility_DisplayArrayInTable(Fertiliser_SourceData.Fertiliser_Products_Data5(),FertiliserProducts[[#Headers],[Company]], 121)</f>
        <v>4</v>
      </c>
      <c r="O215" s="148" t="str" cm="1">
        <f t="array" ref="O215">Common_InputFunctions.Utility_DisplayArrayInTable(Fertiliser_SourceData.Fertiliser_Products_Data5(),FertiliserProducts[[#Headers],[Company]], 121)</f>
        <v>Nitrogen - Generic</v>
      </c>
      <c r="P215" s="148" cm="1">
        <f t="array" ref="P215">Common_InputFunctions.Utility_DisplayArrayInTable(Fertiliser_SourceData.Fertiliser_Products_Data5(),FertiliserProducts[[#Headers],[Company]], 121)</f>
        <v>0.25</v>
      </c>
      <c r="Q215" s="148" t="str" cm="1">
        <f t="array" ref="Q215">Common_InputFunctions.Utility_DisplayArrayInTable(Fertiliser_SourceData.Fertiliser_Products_Data5(),FertiliserProducts[[#Headers],[Company]], 121)</f>
        <v>Phosphorus - Generic</v>
      </c>
      <c r="R215" s="148" cm="1">
        <f t="array" ref="R215">Common_InputFunctions.Utility_DisplayArrayInTable(Fertiliser_SourceData.Fertiliser_Products_Data5(),FertiliserProducts[[#Headers],[Company]], 121)</f>
        <v>0.04</v>
      </c>
      <c r="S215" s="148" t="str" cm="1">
        <f t="array" ref="S215">Common_InputFunctions.Utility_DisplayArrayInTable(Fertiliser_SourceData.Fertiliser_Products_Data5(),FertiliserProducts[[#Headers],[Company]], 121)</f>
        <v>Potassium - Generic</v>
      </c>
      <c r="T215" s="148" cm="1">
        <f t="array" ref="T215">Common_InputFunctions.Utility_DisplayArrayInTable(Fertiliser_SourceData.Fertiliser_Products_Data5(),FertiliserProducts[[#Headers],[Company]], 121)</f>
        <v>0.13</v>
      </c>
      <c r="U215" s="148" t="str" cm="1">
        <f t="array" ref="U215">Common_InputFunctions.Utility_DisplayArrayInTable(Fertiliser_SourceData.Fertiliser_Products_Data5(),FertiliserProducts[[#Headers],[Company]], 121)</f>
        <v>Sulfur - Generic</v>
      </c>
      <c r="V215" s="148" cm="1">
        <f t="array" ref="V215">Common_InputFunctions.Utility_DisplayArrayInTable(Fertiliser_SourceData.Fertiliser_Products_Data5(),FertiliserProducts[[#Headers],[Company]], 121)</f>
        <v>0.04</v>
      </c>
      <c r="W215" s="148" t="str" cm="1">
        <f t="array" ref="W215">Common_InputFunctions.Utility_DisplayArrayInTable(Fertiliser_SourceData.Fertiliser_Products_Data5(),FertiliserProducts[[#Headers],[Company]], 121)</f>
        <v/>
      </c>
      <c r="X215" s="148" t="str" cm="1">
        <f t="array" ref="X215">Common_InputFunctions.Utility_DisplayArrayInTable(Fertiliser_SourceData.Fertiliser_Products_Data5(),FertiliserProducts[[#Headers],[Company]], 121)</f>
        <v/>
      </c>
      <c r="Y215" s="148" t="str" cm="1">
        <f t="array" ref="Y215">Common_InputFunctions.Utility_DisplayArrayInTable(Fertiliser_SourceData.Fertiliser_Products_Data5(),FertiliserProducts[[#Headers],[Company]], 121)</f>
        <v/>
      </c>
      <c r="Z215" s="148" t="str" cm="1">
        <f t="array" ref="Z215">Common_InputFunctions.Utility_DisplayArrayInTable(Fertiliser_SourceData.Fertiliser_Products_Data5(),FertiliserProducts[[#Headers],[Company]], 121)</f>
        <v/>
      </c>
      <c r="AA215" s="148" t="str" cm="1">
        <f t="array" ref="AA215">Common_InputFunctions.Utility_DisplayArrayInTable(Fertiliser_SourceData.Fertiliser_Products_Data5(),FertiliserProducts[[#Headers],[Company]], 121)</f>
        <v/>
      </c>
      <c r="AB215" s="148" t="str" cm="1">
        <f t="array" ref="AB215">Common_InputFunctions.Utility_DisplayArrayInTable(Fertiliser_SourceData.Fertiliser_Products_Data5(),FertiliserProducts[[#Headers],[Company]], 121)</f>
        <v/>
      </c>
      <c r="AC215" s="148" t="str" cm="1">
        <f t="array" ref="AC215">Common_InputFunctions.Utility_DisplayArrayInTable(Fertiliser_SourceData.Fertiliser_Products_Data5(),FertiliserProducts[[#Headers],[Company]], 121)</f>
        <v/>
      </c>
      <c r="AD215" s="148" t="str" cm="1">
        <f t="array" ref="AD215">Common_InputFunctions.Utility_DisplayArrayInTable(Fertiliser_SourceData.Fertiliser_Products_Data5(),FertiliserProducts[[#Headers],[Company]], 121)</f>
        <v/>
      </c>
      <c r="AE215" s="148" t="str" cm="1">
        <f t="array" ref="AE215">Common_InputFunctions.Utility_DisplayArrayInTable(Fertiliser_SourceData.Fertiliser_Products_Data5(),FertiliserProducts[[#Headers],[Company]], 121)</f>
        <v/>
      </c>
      <c r="AF215" s="148" t="str" cm="1">
        <f t="array" ref="AF215">Common_InputFunctions.Utility_DisplayArrayInTable(Fertiliser_SourceData.Fertiliser_Products_Data5(),FertiliserProducts[[#Headers],[Company]], 121)</f>
        <v/>
      </c>
      <c r="AG215" s="148" t="str" cm="1">
        <f t="array" ref="AG215">Common_InputFunctions.Utility_DisplayArrayInTable(Fertiliser_SourceData.Fertiliser_Products_Data5(),FertiliserProducts[[#Headers],[Company]], 121)</f>
        <v/>
      </c>
      <c r="AH215" s="148" t="str" cm="1">
        <f t="array" ref="AH215">Common_InputFunctions.Utility_DisplayArrayInTable(Fertiliser_SourceData.Fertiliser_Products_Data5(),FertiliserProducts[[#Headers],[Company]], 121)</f>
        <v/>
      </c>
    </row>
    <row r="216" spans="1:34" ht="20.100000000000001" customHeight="1" x14ac:dyDescent="0.2">
      <c r="D216" s="148" t="str" cm="1">
        <f t="array" ref="D216">Common_InputFunctions.Utility_DisplayArrayInTable(Fertiliser_SourceData.Fertiliser_Products_Data5(),FertiliserProducts[[#Headers],[Company]], 121)</f>
        <v>Wengfu Australia</v>
      </c>
      <c r="E216" s="148" t="str" cm="1">
        <f t="array" ref="E216">Common_InputFunctions.Utility_DisplayArrayInTable(Fertiliser_SourceData.Fertiliser_Products_Data5(),FertiliserProducts[[#Headers],[Company]], 121)</f>
        <v>Wengfu Pasture Booster</v>
      </c>
      <c r="F216" s="148" t="str" cm="1">
        <f t="array" ref="F216">Common_InputFunctions.Utility_DisplayArrayInTable(Fertiliser_SourceData.Fertiliser_Products_Data5(),FertiliserProducts[[#Headers],[Company]], 121)</f>
        <v>kg</v>
      </c>
      <c r="G216" s="148" cm="1">
        <f t="array" ref="G216">Common_InputFunctions.Utility_DisplayArrayInTable(Fertiliser_SourceData.Fertiliser_Products_Data5(),FertiliserProducts[[#Headers],[Company]], 121)</f>
        <v>1</v>
      </c>
      <c r="H216" s="148" t="str" cm="1">
        <f t="array" ref="H216">Common_InputFunctions.Utility_DisplayArrayInTable(Fertiliser_SourceData.Fertiliser_Products_Data5(),FertiliserProducts[[#Headers],[Company]], 121)</f>
        <v/>
      </c>
      <c r="I216" s="148" t="str" cm="1">
        <f t="array" ref="I216">Common_InputFunctions.Utility_DisplayArrayInTable(Fertiliser_SourceData.Fertiliser_Products_Data5(),FertiliserProducts[[#Headers],[Company]], 121)</f>
        <v/>
      </c>
      <c r="J216" s="148" t="str" cm="1">
        <f t="array" ref="J216">Common_InputFunctions.Utility_DisplayArrayInTable(Fertiliser_SourceData.Fertiliser_Products_Data5(),FertiliserProducts[[#Headers],[Company]], 121)</f>
        <v/>
      </c>
      <c r="K216" s="148" cm="1">
        <f t="array" ref="K216">Common_InputFunctions.Utility_DisplayArrayInTable(Fertiliser_SourceData.Fertiliser_Products_Data5(),FertiliserProducts[[#Headers],[Company]], 121)</f>
        <v>13</v>
      </c>
      <c r="L216" s="148" cm="1">
        <f t="array" ref="L216">Common_InputFunctions.Utility_DisplayArrayInTable(Fertiliser_SourceData.Fertiliser_Products_Data5(),FertiliserProducts[[#Headers],[Company]], 121)</f>
        <v>5</v>
      </c>
      <c r="M216" s="148" cm="1">
        <f t="array" ref="M216">Common_InputFunctions.Utility_DisplayArrayInTable(Fertiliser_SourceData.Fertiliser_Products_Data5(),FertiliserProducts[[#Headers],[Company]], 121)</f>
        <v>24</v>
      </c>
      <c r="N216" s="148" cm="1">
        <f t="array" ref="N216">Common_InputFunctions.Utility_DisplayArrayInTable(Fertiliser_SourceData.Fertiliser_Products_Data5(),FertiliserProducts[[#Headers],[Company]], 121)</f>
        <v>5</v>
      </c>
      <c r="O216" s="148" t="str" cm="1">
        <f t="array" ref="O216">Common_InputFunctions.Utility_DisplayArrayInTable(Fertiliser_SourceData.Fertiliser_Products_Data5(),FertiliserProducts[[#Headers],[Company]], 121)</f>
        <v>Nitrogen - Generic</v>
      </c>
      <c r="P216" s="148" cm="1">
        <f t="array" ref="P216">Common_InputFunctions.Utility_DisplayArrayInTable(Fertiliser_SourceData.Fertiliser_Products_Data5(),FertiliserProducts[[#Headers],[Company]], 121)</f>
        <v>0.13</v>
      </c>
      <c r="Q216" s="148" t="str" cm="1">
        <f t="array" ref="Q216">Common_InputFunctions.Utility_DisplayArrayInTable(Fertiliser_SourceData.Fertiliser_Products_Data5(),FertiliserProducts[[#Headers],[Company]], 121)</f>
        <v>Phosphorus - Generic</v>
      </c>
      <c r="R216" s="148" cm="1">
        <f t="array" ref="R216">Common_InputFunctions.Utility_DisplayArrayInTable(Fertiliser_SourceData.Fertiliser_Products_Data5(),FertiliserProducts[[#Headers],[Company]], 121)</f>
        <v>0.05</v>
      </c>
      <c r="S216" s="148" t="str" cm="1">
        <f t="array" ref="S216">Common_InputFunctions.Utility_DisplayArrayInTable(Fertiliser_SourceData.Fertiliser_Products_Data5(),FertiliserProducts[[#Headers],[Company]], 121)</f>
        <v>Potassium - Generic</v>
      </c>
      <c r="T216" s="148" cm="1">
        <f t="array" ref="T216">Common_InputFunctions.Utility_DisplayArrayInTable(Fertiliser_SourceData.Fertiliser_Products_Data5(),FertiliserProducts[[#Headers],[Company]], 121)</f>
        <v>0.24</v>
      </c>
      <c r="U216" s="148" t="str" cm="1">
        <f t="array" ref="U216">Common_InputFunctions.Utility_DisplayArrayInTable(Fertiliser_SourceData.Fertiliser_Products_Data5(),FertiliserProducts[[#Headers],[Company]], 121)</f>
        <v>Sulfur - Generic</v>
      </c>
      <c r="V216" s="148" cm="1">
        <f t="array" ref="V216">Common_InputFunctions.Utility_DisplayArrayInTable(Fertiliser_SourceData.Fertiliser_Products_Data5(),FertiliserProducts[[#Headers],[Company]], 121)</f>
        <v>0.05</v>
      </c>
      <c r="W216" s="148" t="str" cm="1">
        <f t="array" ref="W216">Common_InputFunctions.Utility_DisplayArrayInTable(Fertiliser_SourceData.Fertiliser_Products_Data5(),FertiliserProducts[[#Headers],[Company]], 121)</f>
        <v/>
      </c>
      <c r="X216" s="148" t="str" cm="1">
        <f t="array" ref="X216">Common_InputFunctions.Utility_DisplayArrayInTable(Fertiliser_SourceData.Fertiliser_Products_Data5(),FertiliserProducts[[#Headers],[Company]], 121)</f>
        <v/>
      </c>
      <c r="Y216" s="148" t="str" cm="1">
        <f t="array" ref="Y216">Common_InputFunctions.Utility_DisplayArrayInTable(Fertiliser_SourceData.Fertiliser_Products_Data5(),FertiliserProducts[[#Headers],[Company]], 121)</f>
        <v/>
      </c>
      <c r="Z216" s="148" t="str" cm="1">
        <f t="array" ref="Z216">Common_InputFunctions.Utility_DisplayArrayInTable(Fertiliser_SourceData.Fertiliser_Products_Data5(),FertiliserProducts[[#Headers],[Company]], 121)</f>
        <v/>
      </c>
      <c r="AA216" s="148" t="str" cm="1">
        <f t="array" ref="AA216">Common_InputFunctions.Utility_DisplayArrayInTable(Fertiliser_SourceData.Fertiliser_Products_Data5(),FertiliserProducts[[#Headers],[Company]], 121)</f>
        <v/>
      </c>
      <c r="AB216" s="148" t="str" cm="1">
        <f t="array" ref="AB216">Common_InputFunctions.Utility_DisplayArrayInTable(Fertiliser_SourceData.Fertiliser_Products_Data5(),FertiliserProducts[[#Headers],[Company]], 121)</f>
        <v/>
      </c>
      <c r="AC216" s="148" t="str" cm="1">
        <f t="array" ref="AC216">Common_InputFunctions.Utility_DisplayArrayInTable(Fertiliser_SourceData.Fertiliser_Products_Data5(),FertiliserProducts[[#Headers],[Company]], 121)</f>
        <v/>
      </c>
      <c r="AD216" s="148" t="str" cm="1">
        <f t="array" ref="AD216">Common_InputFunctions.Utility_DisplayArrayInTable(Fertiliser_SourceData.Fertiliser_Products_Data5(),FertiliserProducts[[#Headers],[Company]], 121)</f>
        <v/>
      </c>
      <c r="AE216" s="148" t="str" cm="1">
        <f t="array" ref="AE216">Common_InputFunctions.Utility_DisplayArrayInTable(Fertiliser_SourceData.Fertiliser_Products_Data5(),FertiliserProducts[[#Headers],[Company]], 121)</f>
        <v/>
      </c>
      <c r="AF216" s="148" t="str" cm="1">
        <f t="array" ref="AF216">Common_InputFunctions.Utility_DisplayArrayInTable(Fertiliser_SourceData.Fertiliser_Products_Data5(),FertiliserProducts[[#Headers],[Company]], 121)</f>
        <v/>
      </c>
      <c r="AG216" s="148" t="str" cm="1">
        <f t="array" ref="AG216">Common_InputFunctions.Utility_DisplayArrayInTable(Fertiliser_SourceData.Fertiliser_Products_Data5(),FertiliserProducts[[#Headers],[Company]], 121)</f>
        <v/>
      </c>
      <c r="AH216" s="148" t="str" cm="1">
        <f t="array" ref="AH216">Common_InputFunctions.Utility_DisplayArrayInTable(Fertiliser_SourceData.Fertiliser_Products_Data5(),FertiliserProducts[[#Headers],[Company]], 121)</f>
        <v/>
      </c>
    </row>
    <row r="217" spans="1:34" ht="20.100000000000001" customHeight="1" x14ac:dyDescent="0.2">
      <c r="D217" s="148" t="str" cm="1">
        <f t="array" ref="D217">Common_InputFunctions.Utility_DisplayArrayInTable(Fertiliser_SourceData.Fertiliser_Products_Data5(),FertiliserProducts[[#Headers],[Company]], 121)</f>
        <v>Wengfu Australia</v>
      </c>
      <c r="E217" s="148" t="str" cm="1">
        <f t="array" ref="E217">Common_InputFunctions.Utility_DisplayArrayInTable(Fertiliser_SourceData.Fertiliser_Products_Data5(),FertiliserProducts[[#Headers],[Company]], 121)</f>
        <v>Wengfu DAP Hay Booster</v>
      </c>
      <c r="F217" s="148" t="str" cm="1">
        <f t="array" ref="F217">Common_InputFunctions.Utility_DisplayArrayInTable(Fertiliser_SourceData.Fertiliser_Products_Data5(),FertiliserProducts[[#Headers],[Company]], 121)</f>
        <v>kg</v>
      </c>
      <c r="G217" s="148" cm="1">
        <f t="array" ref="G217">Common_InputFunctions.Utility_DisplayArrayInTable(Fertiliser_SourceData.Fertiliser_Products_Data5(),FertiliserProducts[[#Headers],[Company]], 121)</f>
        <v>1</v>
      </c>
      <c r="H217" s="148" t="str" cm="1">
        <f t="array" ref="H217">Common_InputFunctions.Utility_DisplayArrayInTable(Fertiliser_SourceData.Fertiliser_Products_Data5(),FertiliserProducts[[#Headers],[Company]], 121)</f>
        <v/>
      </c>
      <c r="I217" s="148" t="str" cm="1">
        <f t="array" ref="I217">Common_InputFunctions.Utility_DisplayArrayInTable(Fertiliser_SourceData.Fertiliser_Products_Data5(),FertiliserProducts[[#Headers],[Company]], 121)</f>
        <v/>
      </c>
      <c r="J217" s="148" t="str" cm="1">
        <f t="array" ref="J217">Common_InputFunctions.Utility_DisplayArrayInTable(Fertiliser_SourceData.Fertiliser_Products_Data5(),FertiliserProducts[[#Headers],[Company]], 121)</f>
        <v/>
      </c>
      <c r="K217" s="148" cm="1">
        <f t="array" ref="K217">Common_InputFunctions.Utility_DisplayArrayInTable(Fertiliser_SourceData.Fertiliser_Products_Data5(),FertiliserProducts[[#Headers],[Company]], 121)</f>
        <v>11</v>
      </c>
      <c r="L217" s="148" cm="1">
        <f t="array" ref="L217">Common_InputFunctions.Utility_DisplayArrayInTable(Fertiliser_SourceData.Fertiliser_Products_Data5(),FertiliserProducts[[#Headers],[Company]], 121)</f>
        <v>5</v>
      </c>
      <c r="M217" s="148" cm="1">
        <f t="array" ref="M217">Common_InputFunctions.Utility_DisplayArrayInTable(Fertiliser_SourceData.Fertiliser_Products_Data5(),FertiliserProducts[[#Headers],[Company]], 121)</f>
        <v>24</v>
      </c>
      <c r="N217" s="148" cm="1">
        <f t="array" ref="N217">Common_InputFunctions.Utility_DisplayArrayInTable(Fertiliser_SourceData.Fertiliser_Products_Data5(),FertiliserProducts[[#Headers],[Company]], 121)</f>
        <v>4</v>
      </c>
      <c r="O217" s="148" t="str" cm="1">
        <f t="array" ref="O217">Common_InputFunctions.Utility_DisplayArrayInTable(Fertiliser_SourceData.Fertiliser_Products_Data5(),FertiliserProducts[[#Headers],[Company]], 121)</f>
        <v>Nitrogen - Generic</v>
      </c>
      <c r="P217" s="148" cm="1">
        <f t="array" ref="P217">Common_InputFunctions.Utility_DisplayArrayInTable(Fertiliser_SourceData.Fertiliser_Products_Data5(),FertiliserProducts[[#Headers],[Company]], 121)</f>
        <v>0.11</v>
      </c>
      <c r="Q217" s="148" t="str" cm="1">
        <f t="array" ref="Q217">Common_InputFunctions.Utility_DisplayArrayInTable(Fertiliser_SourceData.Fertiliser_Products_Data5(),FertiliserProducts[[#Headers],[Company]], 121)</f>
        <v>Phosphorus - Generic</v>
      </c>
      <c r="R217" s="148" cm="1">
        <f t="array" ref="R217">Common_InputFunctions.Utility_DisplayArrayInTable(Fertiliser_SourceData.Fertiliser_Products_Data5(),FertiliserProducts[[#Headers],[Company]], 121)</f>
        <v>0.05</v>
      </c>
      <c r="S217" s="148" t="str" cm="1">
        <f t="array" ref="S217">Common_InputFunctions.Utility_DisplayArrayInTable(Fertiliser_SourceData.Fertiliser_Products_Data5(),FertiliserProducts[[#Headers],[Company]], 121)</f>
        <v>Potassium - Generic</v>
      </c>
      <c r="T217" s="148" cm="1">
        <f t="array" ref="T217">Common_InputFunctions.Utility_DisplayArrayInTable(Fertiliser_SourceData.Fertiliser_Products_Data5(),FertiliserProducts[[#Headers],[Company]], 121)</f>
        <v>0.24</v>
      </c>
      <c r="U217" s="148" t="str" cm="1">
        <f t="array" ref="U217">Common_InputFunctions.Utility_DisplayArrayInTable(Fertiliser_SourceData.Fertiliser_Products_Data5(),FertiliserProducts[[#Headers],[Company]], 121)</f>
        <v>Sulfur - Generic</v>
      </c>
      <c r="V217" s="148" cm="1">
        <f t="array" ref="V217">Common_InputFunctions.Utility_DisplayArrayInTable(Fertiliser_SourceData.Fertiliser_Products_Data5(),FertiliserProducts[[#Headers],[Company]], 121)</f>
        <v>0.04</v>
      </c>
      <c r="W217" s="148" t="str" cm="1">
        <f t="array" ref="W217">Common_InputFunctions.Utility_DisplayArrayInTable(Fertiliser_SourceData.Fertiliser_Products_Data5(),FertiliserProducts[[#Headers],[Company]], 121)</f>
        <v/>
      </c>
      <c r="X217" s="148" t="str" cm="1">
        <f t="array" ref="X217">Common_InputFunctions.Utility_DisplayArrayInTable(Fertiliser_SourceData.Fertiliser_Products_Data5(),FertiliserProducts[[#Headers],[Company]], 121)</f>
        <v/>
      </c>
      <c r="Y217" s="148" t="str" cm="1">
        <f t="array" ref="Y217">Common_InputFunctions.Utility_DisplayArrayInTable(Fertiliser_SourceData.Fertiliser_Products_Data5(),FertiliserProducts[[#Headers],[Company]], 121)</f>
        <v/>
      </c>
      <c r="Z217" s="148" t="str" cm="1">
        <f t="array" ref="Z217">Common_InputFunctions.Utility_DisplayArrayInTable(Fertiliser_SourceData.Fertiliser_Products_Data5(),FertiliserProducts[[#Headers],[Company]], 121)</f>
        <v/>
      </c>
      <c r="AA217" s="148" t="str" cm="1">
        <f t="array" ref="AA217">Common_InputFunctions.Utility_DisplayArrayInTable(Fertiliser_SourceData.Fertiliser_Products_Data5(),FertiliserProducts[[#Headers],[Company]], 121)</f>
        <v/>
      </c>
      <c r="AB217" s="148" t="str" cm="1">
        <f t="array" ref="AB217">Common_InputFunctions.Utility_DisplayArrayInTable(Fertiliser_SourceData.Fertiliser_Products_Data5(),FertiliserProducts[[#Headers],[Company]], 121)</f>
        <v/>
      </c>
      <c r="AC217" s="148" t="str" cm="1">
        <f t="array" ref="AC217">Common_InputFunctions.Utility_DisplayArrayInTable(Fertiliser_SourceData.Fertiliser_Products_Data5(),FertiliserProducts[[#Headers],[Company]], 121)</f>
        <v/>
      </c>
      <c r="AD217" s="148" t="str" cm="1">
        <f t="array" ref="AD217">Common_InputFunctions.Utility_DisplayArrayInTable(Fertiliser_SourceData.Fertiliser_Products_Data5(),FertiliserProducts[[#Headers],[Company]], 121)</f>
        <v/>
      </c>
      <c r="AE217" s="148" t="str" cm="1">
        <f t="array" ref="AE217">Common_InputFunctions.Utility_DisplayArrayInTable(Fertiliser_SourceData.Fertiliser_Products_Data5(),FertiliserProducts[[#Headers],[Company]], 121)</f>
        <v/>
      </c>
      <c r="AF217" s="148" t="str" cm="1">
        <f t="array" ref="AF217">Common_InputFunctions.Utility_DisplayArrayInTable(Fertiliser_SourceData.Fertiliser_Products_Data5(),FertiliserProducts[[#Headers],[Company]], 121)</f>
        <v/>
      </c>
      <c r="AG217" s="148" t="str" cm="1">
        <f t="array" ref="AG217">Common_InputFunctions.Utility_DisplayArrayInTable(Fertiliser_SourceData.Fertiliser_Products_Data5(),FertiliserProducts[[#Headers],[Company]], 121)</f>
        <v/>
      </c>
      <c r="AH217" s="148" t="str" cm="1">
        <f t="array" ref="AH217">Common_InputFunctions.Utility_DisplayArrayInTable(Fertiliser_SourceData.Fertiliser_Products_Data5(),FertiliserProducts[[#Headers],[Company]], 121)</f>
        <v/>
      </c>
    </row>
    <row r="218" spans="1:34" ht="20.100000000000001" customHeight="1" x14ac:dyDescent="0.2">
      <c r="A218" s="79" t="str">
        <f>HYPERLINK("#A1", "▲ Back to top")</f>
        <v>▲ Back to top</v>
      </c>
      <c r="D218" s="148" t="str" cm="1">
        <f t="array" ref="D218">Common_InputFunctions.Utility_DisplayArrayInTable(Fertiliser_SourceData.Fertiliser_Products_Data5(),FertiliserProducts[[#Headers],[Company]], 121)</f>
        <v>Wengfu Australia</v>
      </c>
      <c r="E218" s="148" t="str" cm="1">
        <f t="array" ref="E218">Common_InputFunctions.Utility_DisplayArrayInTable(Fertiliser_SourceData.Fertiliser_Products_Data5(),FertiliserProducts[[#Headers],[Company]], 121)</f>
        <v>Wengfu MAP Hay Booster</v>
      </c>
      <c r="F218" s="148" t="str" cm="1">
        <f t="array" ref="F218">Common_InputFunctions.Utility_DisplayArrayInTable(Fertiliser_SourceData.Fertiliser_Products_Data5(),FertiliserProducts[[#Headers],[Company]], 121)</f>
        <v>kg</v>
      </c>
      <c r="G218" s="148" cm="1">
        <f t="array" ref="G218">Common_InputFunctions.Utility_DisplayArrayInTable(Fertiliser_SourceData.Fertiliser_Products_Data5(),FertiliserProducts[[#Headers],[Company]], 121)</f>
        <v>1</v>
      </c>
      <c r="H218" s="148" t="str" cm="1">
        <f t="array" ref="H218">Common_InputFunctions.Utility_DisplayArrayInTable(Fertiliser_SourceData.Fertiliser_Products_Data5(),FertiliserProducts[[#Headers],[Company]], 121)</f>
        <v/>
      </c>
      <c r="I218" s="148" t="str" cm="1">
        <f t="array" ref="I218">Common_InputFunctions.Utility_DisplayArrayInTable(Fertiliser_SourceData.Fertiliser_Products_Data5(),FertiliserProducts[[#Headers],[Company]], 121)</f>
        <v/>
      </c>
      <c r="J218" s="148" t="str" cm="1">
        <f t="array" ref="J218">Common_InputFunctions.Utility_DisplayArrayInTable(Fertiliser_SourceData.Fertiliser_Products_Data5(),FertiliserProducts[[#Headers],[Company]], 121)</f>
        <v/>
      </c>
      <c r="K218" s="148" cm="1">
        <f t="array" ref="K218">Common_InputFunctions.Utility_DisplayArrayInTable(Fertiliser_SourceData.Fertiliser_Products_Data5(),FertiliserProducts[[#Headers],[Company]], 121)</f>
        <v>11</v>
      </c>
      <c r="L218" s="148" cm="1">
        <f t="array" ref="L218">Common_InputFunctions.Utility_DisplayArrayInTable(Fertiliser_SourceData.Fertiliser_Products_Data5(),FertiliserProducts[[#Headers],[Company]], 121)</f>
        <v>8</v>
      </c>
      <c r="M218" s="148" cm="1">
        <f t="array" ref="M218">Common_InputFunctions.Utility_DisplayArrayInTable(Fertiliser_SourceData.Fertiliser_Products_Data5(),FertiliserProducts[[#Headers],[Company]], 121)</f>
        <v>20</v>
      </c>
      <c r="N218" s="148" cm="1">
        <f t="array" ref="N218">Common_InputFunctions.Utility_DisplayArrayInTable(Fertiliser_SourceData.Fertiliser_Products_Data5(),FertiliserProducts[[#Headers],[Company]], 121)</f>
        <v>6</v>
      </c>
      <c r="O218" s="148" t="str" cm="1">
        <f t="array" ref="O218">Common_InputFunctions.Utility_DisplayArrayInTable(Fertiliser_SourceData.Fertiliser_Products_Data5(),FertiliserProducts[[#Headers],[Company]], 121)</f>
        <v>Nitrogen - Generic</v>
      </c>
      <c r="P218" s="148" cm="1">
        <f t="array" ref="P218">Common_InputFunctions.Utility_DisplayArrayInTable(Fertiliser_SourceData.Fertiliser_Products_Data5(),FertiliserProducts[[#Headers],[Company]], 121)</f>
        <v>0.11</v>
      </c>
      <c r="Q218" s="148" t="str" cm="1">
        <f t="array" ref="Q218">Common_InputFunctions.Utility_DisplayArrayInTable(Fertiliser_SourceData.Fertiliser_Products_Data5(),FertiliserProducts[[#Headers],[Company]], 121)</f>
        <v>Phosphorus - Generic</v>
      </c>
      <c r="R218" s="148" cm="1">
        <f t="array" ref="R218">Common_InputFunctions.Utility_DisplayArrayInTable(Fertiliser_SourceData.Fertiliser_Products_Data5(),FertiliserProducts[[#Headers],[Company]], 121)</f>
        <v>0.08</v>
      </c>
      <c r="S218" s="148" t="str" cm="1">
        <f t="array" ref="S218">Common_InputFunctions.Utility_DisplayArrayInTable(Fertiliser_SourceData.Fertiliser_Products_Data5(),FertiliserProducts[[#Headers],[Company]], 121)</f>
        <v>Potassium - Generic</v>
      </c>
      <c r="T218" s="148" cm="1">
        <f t="array" ref="T218">Common_InputFunctions.Utility_DisplayArrayInTable(Fertiliser_SourceData.Fertiliser_Products_Data5(),FertiliserProducts[[#Headers],[Company]], 121)</f>
        <v>0.2</v>
      </c>
      <c r="U218" s="148" t="str" cm="1">
        <f t="array" ref="U218">Common_InputFunctions.Utility_DisplayArrayInTable(Fertiliser_SourceData.Fertiliser_Products_Data5(),FertiliserProducts[[#Headers],[Company]], 121)</f>
        <v>Sulfur - Generic</v>
      </c>
      <c r="V218" s="148" cm="1">
        <f t="array" ref="V218">Common_InputFunctions.Utility_DisplayArrayInTable(Fertiliser_SourceData.Fertiliser_Products_Data5(),FertiliserProducts[[#Headers],[Company]], 121)</f>
        <v>0.06</v>
      </c>
      <c r="W218" s="148" t="str" cm="1">
        <f t="array" ref="W218">Common_InputFunctions.Utility_DisplayArrayInTable(Fertiliser_SourceData.Fertiliser_Products_Data5(),FertiliserProducts[[#Headers],[Company]], 121)</f>
        <v/>
      </c>
      <c r="X218" s="148" t="str" cm="1">
        <f t="array" ref="X218">Common_InputFunctions.Utility_DisplayArrayInTable(Fertiliser_SourceData.Fertiliser_Products_Data5(),FertiliserProducts[[#Headers],[Company]], 121)</f>
        <v/>
      </c>
      <c r="Y218" s="148" t="str" cm="1">
        <f t="array" ref="Y218">Common_InputFunctions.Utility_DisplayArrayInTable(Fertiliser_SourceData.Fertiliser_Products_Data5(),FertiliserProducts[[#Headers],[Company]], 121)</f>
        <v/>
      </c>
      <c r="Z218" s="148" t="str" cm="1">
        <f t="array" ref="Z218">Common_InputFunctions.Utility_DisplayArrayInTable(Fertiliser_SourceData.Fertiliser_Products_Data5(),FertiliserProducts[[#Headers],[Company]], 121)</f>
        <v/>
      </c>
      <c r="AA218" s="148" t="str" cm="1">
        <f t="array" ref="AA218">Common_InputFunctions.Utility_DisplayArrayInTable(Fertiliser_SourceData.Fertiliser_Products_Data5(),FertiliserProducts[[#Headers],[Company]], 121)</f>
        <v/>
      </c>
      <c r="AB218" s="148" t="str" cm="1">
        <f t="array" ref="AB218">Common_InputFunctions.Utility_DisplayArrayInTable(Fertiliser_SourceData.Fertiliser_Products_Data5(),FertiliserProducts[[#Headers],[Company]], 121)</f>
        <v/>
      </c>
      <c r="AC218" s="148" t="str" cm="1">
        <f t="array" ref="AC218">Common_InputFunctions.Utility_DisplayArrayInTable(Fertiliser_SourceData.Fertiliser_Products_Data5(),FertiliserProducts[[#Headers],[Company]], 121)</f>
        <v/>
      </c>
      <c r="AD218" s="148" t="str" cm="1">
        <f t="array" ref="AD218">Common_InputFunctions.Utility_DisplayArrayInTable(Fertiliser_SourceData.Fertiliser_Products_Data5(),FertiliserProducts[[#Headers],[Company]], 121)</f>
        <v/>
      </c>
      <c r="AE218" s="148" t="str" cm="1">
        <f t="array" ref="AE218">Common_InputFunctions.Utility_DisplayArrayInTable(Fertiliser_SourceData.Fertiliser_Products_Data5(),FertiliserProducts[[#Headers],[Company]], 121)</f>
        <v/>
      </c>
      <c r="AF218" s="148" t="str" cm="1">
        <f t="array" ref="AF218">Common_InputFunctions.Utility_DisplayArrayInTable(Fertiliser_SourceData.Fertiliser_Products_Data5(),FertiliserProducts[[#Headers],[Company]], 121)</f>
        <v/>
      </c>
      <c r="AG218" s="148" t="str" cm="1">
        <f t="array" ref="AG218">Common_InputFunctions.Utility_DisplayArrayInTable(Fertiliser_SourceData.Fertiliser_Products_Data5(),FertiliserProducts[[#Headers],[Company]], 121)</f>
        <v/>
      </c>
      <c r="AH218" s="148" t="str" cm="1">
        <f t="array" ref="AH218">Common_InputFunctions.Utility_DisplayArrayInTable(Fertiliser_SourceData.Fertiliser_Products_Data5(),FertiliserProducts[[#Headers],[Company]], 121)</f>
        <v/>
      </c>
    </row>
    <row r="219" spans="1:34" ht="20.100000000000001" customHeight="1" x14ac:dyDescent="0.2">
      <c r="D219" s="148" t="str" cm="1">
        <f t="array" ref="D219">Common_InputFunctions.Utility_DisplayArrayInTable(Fertiliser_SourceData.Fertiliser_Products_Data5(),FertiliserProducts[[#Headers],[Company]], 121)</f>
        <v>Wengfu Australia</v>
      </c>
      <c r="E219" s="148" t="str" cm="1">
        <f t="array" ref="E219">Common_InputFunctions.Utility_DisplayArrayInTable(Fertiliser_SourceData.Fertiliser_Products_Data5(),FertiliserProducts[[#Headers],[Company]], 121)</f>
        <v>Wengfu Fodder Booster</v>
      </c>
      <c r="F219" s="148" t="str" cm="1">
        <f t="array" ref="F219">Common_InputFunctions.Utility_DisplayArrayInTable(Fertiliser_SourceData.Fertiliser_Products_Data5(),FertiliserProducts[[#Headers],[Company]], 121)</f>
        <v>kg</v>
      </c>
      <c r="G219" s="148" cm="1">
        <f t="array" ref="G219">Common_InputFunctions.Utility_DisplayArrayInTable(Fertiliser_SourceData.Fertiliser_Products_Data5(),FertiliserProducts[[#Headers],[Company]], 121)</f>
        <v>1</v>
      </c>
      <c r="H219" s="148" t="str" cm="1">
        <f t="array" ref="H219">Common_InputFunctions.Utility_DisplayArrayInTable(Fertiliser_SourceData.Fertiliser_Products_Data5(),FertiliserProducts[[#Headers],[Company]], 121)</f>
        <v/>
      </c>
      <c r="I219" s="148" t="str" cm="1">
        <f t="array" ref="I219">Common_InputFunctions.Utility_DisplayArrayInTable(Fertiliser_SourceData.Fertiliser_Products_Data5(),FertiliserProducts[[#Headers],[Company]], 121)</f>
        <v/>
      </c>
      <c r="J219" s="148" t="str" cm="1">
        <f t="array" ref="J219">Common_InputFunctions.Utility_DisplayArrayInTable(Fertiliser_SourceData.Fertiliser_Products_Data5(),FertiliserProducts[[#Headers],[Company]], 121)</f>
        <v/>
      </c>
      <c r="K219" s="148" cm="1">
        <f t="array" ref="K219">Common_InputFunctions.Utility_DisplayArrayInTable(Fertiliser_SourceData.Fertiliser_Products_Data5(),FertiliserProducts[[#Headers],[Company]], 121)</f>
        <v>9</v>
      </c>
      <c r="L219" s="148" cm="1">
        <f t="array" ref="L219">Common_InputFunctions.Utility_DisplayArrayInTable(Fertiliser_SourceData.Fertiliser_Products_Data5(),FertiliserProducts[[#Headers],[Company]], 121)</f>
        <v>4</v>
      </c>
      <c r="M219" s="148" cm="1">
        <f t="array" ref="M219">Common_InputFunctions.Utility_DisplayArrayInTable(Fertiliser_SourceData.Fertiliser_Products_Data5(),FertiliserProducts[[#Headers],[Company]], 121)</f>
        <v>5</v>
      </c>
      <c r="N219" s="148" cm="1">
        <f t="array" ref="N219">Common_InputFunctions.Utility_DisplayArrayInTable(Fertiliser_SourceData.Fertiliser_Products_Data5(),FertiliserProducts[[#Headers],[Company]], 121)</f>
        <v>15</v>
      </c>
      <c r="O219" s="148" t="str" cm="1">
        <f t="array" ref="O219">Common_InputFunctions.Utility_DisplayArrayInTable(Fertiliser_SourceData.Fertiliser_Products_Data5(),FertiliserProducts[[#Headers],[Company]], 121)</f>
        <v>Nitrogen - Generic</v>
      </c>
      <c r="P219" s="148" cm="1">
        <f t="array" ref="P219">Common_InputFunctions.Utility_DisplayArrayInTable(Fertiliser_SourceData.Fertiliser_Products_Data5(),FertiliserProducts[[#Headers],[Company]], 121)</f>
        <v>0.09</v>
      </c>
      <c r="Q219" s="148" t="str" cm="1">
        <f t="array" ref="Q219">Common_InputFunctions.Utility_DisplayArrayInTable(Fertiliser_SourceData.Fertiliser_Products_Data5(),FertiliserProducts[[#Headers],[Company]], 121)</f>
        <v>Phosphorus - Generic</v>
      </c>
      <c r="R219" s="148" cm="1">
        <f t="array" ref="R219">Common_InputFunctions.Utility_DisplayArrayInTable(Fertiliser_SourceData.Fertiliser_Products_Data5(),FertiliserProducts[[#Headers],[Company]], 121)</f>
        <v>0.04</v>
      </c>
      <c r="S219" s="148" t="str" cm="1">
        <f t="array" ref="S219">Common_InputFunctions.Utility_DisplayArrayInTable(Fertiliser_SourceData.Fertiliser_Products_Data5(),FertiliserProducts[[#Headers],[Company]], 121)</f>
        <v>Potassium - Generic</v>
      </c>
      <c r="T219" s="148" cm="1">
        <f t="array" ref="T219">Common_InputFunctions.Utility_DisplayArrayInTable(Fertiliser_SourceData.Fertiliser_Products_Data5(),FertiliserProducts[[#Headers],[Company]], 121)</f>
        <v>0.05</v>
      </c>
      <c r="U219" s="148" t="str" cm="1">
        <f t="array" ref="U219">Common_InputFunctions.Utility_DisplayArrayInTable(Fertiliser_SourceData.Fertiliser_Products_Data5(),FertiliserProducts[[#Headers],[Company]], 121)</f>
        <v>Sulfur - Generic</v>
      </c>
      <c r="V219" s="148" cm="1">
        <f t="array" ref="V219">Common_InputFunctions.Utility_DisplayArrayInTable(Fertiliser_SourceData.Fertiliser_Products_Data5(),FertiliserProducts[[#Headers],[Company]], 121)</f>
        <v>0.15</v>
      </c>
      <c r="W219" s="148" t="str" cm="1">
        <f t="array" ref="W219">Common_InputFunctions.Utility_DisplayArrayInTable(Fertiliser_SourceData.Fertiliser_Products_Data5(),FertiliserProducts[[#Headers],[Company]], 121)</f>
        <v/>
      </c>
      <c r="X219" s="148" t="str" cm="1">
        <f t="array" ref="X219">Common_InputFunctions.Utility_DisplayArrayInTable(Fertiliser_SourceData.Fertiliser_Products_Data5(),FertiliserProducts[[#Headers],[Company]], 121)</f>
        <v/>
      </c>
      <c r="Y219" s="148" t="str" cm="1">
        <f t="array" ref="Y219">Common_InputFunctions.Utility_DisplayArrayInTable(Fertiliser_SourceData.Fertiliser_Products_Data5(),FertiliserProducts[[#Headers],[Company]], 121)</f>
        <v/>
      </c>
      <c r="Z219" s="148" t="str" cm="1">
        <f t="array" ref="Z219">Common_InputFunctions.Utility_DisplayArrayInTable(Fertiliser_SourceData.Fertiliser_Products_Data5(),FertiliserProducts[[#Headers],[Company]], 121)</f>
        <v/>
      </c>
      <c r="AA219" s="148" t="str" cm="1">
        <f t="array" ref="AA219">Common_InputFunctions.Utility_DisplayArrayInTable(Fertiliser_SourceData.Fertiliser_Products_Data5(),FertiliserProducts[[#Headers],[Company]], 121)</f>
        <v/>
      </c>
      <c r="AB219" s="148" t="str" cm="1">
        <f t="array" ref="AB219">Common_InputFunctions.Utility_DisplayArrayInTable(Fertiliser_SourceData.Fertiliser_Products_Data5(),FertiliserProducts[[#Headers],[Company]], 121)</f>
        <v/>
      </c>
      <c r="AC219" s="148" t="str" cm="1">
        <f t="array" ref="AC219">Common_InputFunctions.Utility_DisplayArrayInTable(Fertiliser_SourceData.Fertiliser_Products_Data5(),FertiliserProducts[[#Headers],[Company]], 121)</f>
        <v/>
      </c>
      <c r="AD219" s="148" t="str" cm="1">
        <f t="array" ref="AD219">Common_InputFunctions.Utility_DisplayArrayInTable(Fertiliser_SourceData.Fertiliser_Products_Data5(),FertiliserProducts[[#Headers],[Company]], 121)</f>
        <v/>
      </c>
      <c r="AE219" s="148" t="str" cm="1">
        <f t="array" ref="AE219">Common_InputFunctions.Utility_DisplayArrayInTable(Fertiliser_SourceData.Fertiliser_Products_Data5(),FertiliserProducts[[#Headers],[Company]], 121)</f>
        <v/>
      </c>
      <c r="AF219" s="148" t="str" cm="1">
        <f t="array" ref="AF219">Common_InputFunctions.Utility_DisplayArrayInTable(Fertiliser_SourceData.Fertiliser_Products_Data5(),FertiliserProducts[[#Headers],[Company]], 121)</f>
        <v/>
      </c>
      <c r="AG219" s="148" t="str" cm="1">
        <f t="array" ref="AG219">Common_InputFunctions.Utility_DisplayArrayInTable(Fertiliser_SourceData.Fertiliser_Products_Data5(),FertiliserProducts[[#Headers],[Company]], 121)</f>
        <v/>
      </c>
      <c r="AH219" s="148" t="str" cm="1">
        <f t="array" ref="AH219">Common_InputFunctions.Utility_DisplayArrayInTable(Fertiliser_SourceData.Fertiliser_Products_Data5(),FertiliserProducts[[#Headers],[Company]], 121)</f>
        <v/>
      </c>
    </row>
    <row r="220" spans="1:34" ht="20.100000000000001" customHeight="1" x14ac:dyDescent="0.2">
      <c r="D220" s="148" t="str" cm="1">
        <f t="array" ref="D220">Common_InputFunctions.Utility_DisplayArrayInTable(Fertiliser_SourceData.Fertiliser_Products_Data5(),FertiliserProducts[[#Headers],[Company]], 121)</f>
        <v>CSBP</v>
      </c>
      <c r="E220" s="148" t="str" cm="1">
        <f t="array" ref="E220">Common_InputFunctions.Utility_DisplayArrayInTable(Fertiliser_SourceData.Fertiliser_Products_Data5(),FertiliserProducts[[#Headers],[Company]], 121)</f>
        <v>K-Till Extra</v>
      </c>
      <c r="F220" s="148" t="str" cm="1">
        <f t="array" ref="F220">Common_InputFunctions.Utility_DisplayArrayInTable(Fertiliser_SourceData.Fertiliser_Products_Data5(),FertiliserProducts[[#Headers],[Company]], 121)</f>
        <v>kg</v>
      </c>
      <c r="G220" s="148" cm="1">
        <f t="array" ref="G220">Common_InputFunctions.Utility_DisplayArrayInTable(Fertiliser_SourceData.Fertiliser_Products_Data5(),FertiliserProducts[[#Headers],[Company]], 121)</f>
        <v>1</v>
      </c>
      <c r="H220" s="148" t="str" cm="1">
        <f t="array" ref="H220">Common_InputFunctions.Utility_DisplayArrayInTable(Fertiliser_SourceData.Fertiliser_Products_Data5(),FertiliserProducts[[#Headers],[Company]], 121)</f>
        <v/>
      </c>
      <c r="I220" s="148" t="str" cm="1">
        <f t="array" ref="I220">Common_InputFunctions.Utility_DisplayArrayInTable(Fertiliser_SourceData.Fertiliser_Products_Data5(),FertiliserProducts[[#Headers],[Company]], 121)</f>
        <v/>
      </c>
      <c r="J220" s="148" t="str" cm="1">
        <f t="array" ref="J220">Common_InputFunctions.Utility_DisplayArrayInTable(Fertiliser_SourceData.Fertiliser_Products_Data5(),FertiliserProducts[[#Headers],[Company]], 121)</f>
        <v/>
      </c>
      <c r="K220" s="148" cm="1">
        <f t="array" ref="K220">Common_InputFunctions.Utility_DisplayArrayInTable(Fertiliser_SourceData.Fertiliser_Products_Data5(),FertiliserProducts[[#Headers],[Company]], 121)</f>
        <v>10.73</v>
      </c>
      <c r="L220" s="148" cm="1">
        <f t="array" ref="L220">Common_InputFunctions.Utility_DisplayArrayInTable(Fertiliser_SourceData.Fertiliser_Products_Data5(),FertiliserProducts[[#Headers],[Company]], 121)</f>
        <v>10.95</v>
      </c>
      <c r="M220" s="148" cm="1">
        <f t="array" ref="M220">Common_InputFunctions.Utility_DisplayArrayInTable(Fertiliser_SourceData.Fertiliser_Products_Data5(),FertiliserProducts[[#Headers],[Company]], 121)</f>
        <v>11.35</v>
      </c>
      <c r="N220" s="148" cm="1">
        <f t="array" ref="N220">Common_InputFunctions.Utility_DisplayArrayInTable(Fertiliser_SourceData.Fertiliser_Products_Data5(),FertiliserProducts[[#Headers],[Company]], 121)</f>
        <v>6.55</v>
      </c>
      <c r="O220" s="148" t="str" cm="1">
        <f t="array" ref="O220">Common_InputFunctions.Utility_DisplayArrayInTable(Fertiliser_SourceData.Fertiliser_Products_Data5(),FertiliserProducts[[#Headers],[Company]], 121)</f>
        <v>Monoammonium phosphate (MAP)</v>
      </c>
      <c r="P220" s="148" cm="1">
        <f t="array" ref="P220">Common_InputFunctions.Utility_DisplayArrayInTable(Fertiliser_SourceData.Fertiliser_Products_Data5(),FertiliserProducts[[#Headers],[Company]], 121)</f>
        <v>0.5</v>
      </c>
      <c r="Q220" s="148" t="str" cm="1">
        <f t="array" ref="Q220">Common_InputFunctions.Utility_DisplayArrayInTable(Fertiliser_SourceData.Fertiliser_Products_Data5(),FertiliserProducts[[#Headers],[Company]], 121)</f>
        <v>Sulphate of ammonia (SOA)</v>
      </c>
      <c r="R220" s="148" cm="1">
        <f t="array" ref="R220">Common_InputFunctions.Utility_DisplayArrayInTable(Fertiliser_SourceData.Fertiliser_Products_Data5(),FertiliserProducts[[#Headers],[Company]], 121)</f>
        <v>0.27300000000000002</v>
      </c>
      <c r="S220" s="148" t="str" cm="1">
        <f t="array" ref="S220">Common_InputFunctions.Utility_DisplayArrayInTable(Fertiliser_SourceData.Fertiliser_Products_Data5(),FertiliserProducts[[#Headers],[Company]], 121)</f>
        <v>Muriate of potash (MOP)</v>
      </c>
      <c r="T220" s="148" cm="1">
        <f t="array" ref="T220">Common_InputFunctions.Utility_DisplayArrayInTable(Fertiliser_SourceData.Fertiliser_Products_Data5(),FertiliserProducts[[#Headers],[Company]], 121)</f>
        <v>0.22700000000000001</v>
      </c>
      <c r="U220" s="148" t="str" cm="1">
        <f t="array" ref="U220">Common_InputFunctions.Utility_DisplayArrayInTable(Fertiliser_SourceData.Fertiliser_Products_Data5(),FertiliserProducts[[#Headers],[Company]], 121)</f>
        <v>Copper</v>
      </c>
      <c r="V220" s="148" t="str" cm="1">
        <f t="array" ref="V220">Common_InputFunctions.Utility_DisplayArrayInTable(Fertiliser_SourceData.Fertiliser_Products_Data5(),FertiliserProducts[[#Headers],[Company]], 121)</f>
        <v>No data</v>
      </c>
      <c r="W220" s="148" t="str" cm="1">
        <f t="array" ref="W220">Common_InputFunctions.Utility_DisplayArrayInTable(Fertiliser_SourceData.Fertiliser_Products_Data5(),FertiliserProducts[[#Headers],[Company]], 121)</f>
        <v>Zinc</v>
      </c>
      <c r="X220" s="148" t="str" cm="1">
        <f t="array" ref="X220">Common_InputFunctions.Utility_DisplayArrayInTable(Fertiliser_SourceData.Fertiliser_Products_Data5(),FertiliserProducts[[#Headers],[Company]], 121)</f>
        <v>No data</v>
      </c>
      <c r="Y220" s="148" t="str" cm="1">
        <f t="array" ref="Y220">Common_InputFunctions.Utility_DisplayArrayInTable(Fertiliser_SourceData.Fertiliser_Products_Data5(),FertiliserProducts[[#Headers],[Company]], 121)</f>
        <v/>
      </c>
      <c r="Z220" s="148" t="str" cm="1">
        <f t="array" ref="Z220">Common_InputFunctions.Utility_DisplayArrayInTable(Fertiliser_SourceData.Fertiliser_Products_Data5(),FertiliserProducts[[#Headers],[Company]], 121)</f>
        <v/>
      </c>
      <c r="AA220" s="148" t="str" cm="1">
        <f t="array" ref="AA220">Common_InputFunctions.Utility_DisplayArrayInTable(Fertiliser_SourceData.Fertiliser_Products_Data5(),FertiliserProducts[[#Headers],[Company]], 121)</f>
        <v/>
      </c>
      <c r="AB220" s="148" t="str" cm="1">
        <f t="array" ref="AB220">Common_InputFunctions.Utility_DisplayArrayInTable(Fertiliser_SourceData.Fertiliser_Products_Data5(),FertiliserProducts[[#Headers],[Company]], 121)</f>
        <v/>
      </c>
      <c r="AC220" s="148" t="str" cm="1">
        <f t="array" ref="AC220">Common_InputFunctions.Utility_DisplayArrayInTable(Fertiliser_SourceData.Fertiliser_Products_Data5(),FertiliserProducts[[#Headers],[Company]], 121)</f>
        <v/>
      </c>
      <c r="AD220" s="148" t="str" cm="1">
        <f t="array" ref="AD220">Common_InputFunctions.Utility_DisplayArrayInTable(Fertiliser_SourceData.Fertiliser_Products_Data5(),FertiliserProducts[[#Headers],[Company]], 121)</f>
        <v/>
      </c>
      <c r="AE220" s="148" t="str" cm="1">
        <f t="array" ref="AE220">Common_InputFunctions.Utility_DisplayArrayInTable(Fertiliser_SourceData.Fertiliser_Products_Data5(),FertiliserProducts[[#Headers],[Company]], 121)</f>
        <v/>
      </c>
      <c r="AF220" s="148" t="str" cm="1">
        <f t="array" ref="AF220">Common_InputFunctions.Utility_DisplayArrayInTable(Fertiliser_SourceData.Fertiliser_Products_Data5(),FertiliserProducts[[#Headers],[Company]], 121)</f>
        <v/>
      </c>
      <c r="AG220" s="148" t="str" cm="1">
        <f t="array" ref="AG220">Common_InputFunctions.Utility_DisplayArrayInTable(Fertiliser_SourceData.Fertiliser_Products_Data5(),FertiliserProducts[[#Headers],[Company]], 121)</f>
        <v/>
      </c>
      <c r="AH220" s="148" t="str" cm="1">
        <f t="array" ref="AH220">Common_InputFunctions.Utility_DisplayArrayInTable(Fertiliser_SourceData.Fertiliser_Products_Data5(),FertiliserProducts[[#Headers],[Company]], 121)</f>
        <v/>
      </c>
    </row>
    <row r="221" spans="1:34" ht="20.100000000000001" customHeight="1" x14ac:dyDescent="0.2">
      <c r="D221" s="148" t="str" cm="1">
        <f t="array" ref="D221">Common_InputFunctions.Utility_DisplayArrayInTable(Fertiliser_SourceData.Fertiliser_Products_Data5(),FertiliserProducts[[#Headers],[Company]], 121)</f>
        <v>CSBP</v>
      </c>
      <c r="E221" s="148" t="str" cm="1">
        <f t="array" ref="E221">Common_InputFunctions.Utility_DisplayArrayInTable(Fertiliser_SourceData.Fertiliser_Products_Data5(),FertiliserProducts[[#Headers],[Company]], 121)</f>
        <v>Agras Extra</v>
      </c>
      <c r="F221" s="148" t="str" cm="1">
        <f t="array" ref="F221">Common_InputFunctions.Utility_DisplayArrayInTable(Fertiliser_SourceData.Fertiliser_Products_Data5(),FertiliserProducts[[#Headers],[Company]], 121)</f>
        <v>kg</v>
      </c>
      <c r="G221" s="148" cm="1">
        <f t="array" ref="G221">Common_InputFunctions.Utility_DisplayArrayInTable(Fertiliser_SourceData.Fertiliser_Products_Data5(),FertiliserProducts[[#Headers],[Company]], 121)</f>
        <v>1</v>
      </c>
      <c r="H221" s="148" t="str" cm="1">
        <f t="array" ref="H221">Common_InputFunctions.Utility_DisplayArrayInTable(Fertiliser_SourceData.Fertiliser_Products_Data5(),FertiliserProducts[[#Headers],[Company]], 121)</f>
        <v/>
      </c>
      <c r="I221" s="148" t="str" cm="1">
        <f t="array" ref="I221">Common_InputFunctions.Utility_DisplayArrayInTable(Fertiliser_SourceData.Fertiliser_Products_Data5(),FertiliserProducts[[#Headers],[Company]], 121)</f>
        <v/>
      </c>
      <c r="J221" s="148" t="str" cm="1">
        <f t="array" ref="J221">Common_InputFunctions.Utility_DisplayArrayInTable(Fertiliser_SourceData.Fertiliser_Products_Data5(),FertiliserProducts[[#Headers],[Company]], 121)</f>
        <v/>
      </c>
      <c r="K221" s="148" cm="1">
        <f t="array" ref="K221">Common_InputFunctions.Utility_DisplayArrayInTable(Fertiliser_SourceData.Fertiliser_Products_Data5(),FertiliserProducts[[#Headers],[Company]], 121)</f>
        <v>16.95</v>
      </c>
      <c r="L221" s="148" cm="1">
        <f t="array" ref="L221">Common_InputFunctions.Utility_DisplayArrayInTable(Fertiliser_SourceData.Fertiliser_Products_Data5(),FertiliserProducts[[#Headers],[Company]], 121)</f>
        <v>8.06</v>
      </c>
      <c r="M221" s="148" t="str" cm="1">
        <f t="array" ref="M221">Common_InputFunctions.Utility_DisplayArrayInTable(Fertiliser_SourceData.Fertiliser_Products_Data5(),FertiliserProducts[[#Headers],[Company]], 121)</f>
        <v/>
      </c>
      <c r="N221" s="148" cm="1">
        <f t="array" ref="N221">Common_InputFunctions.Utility_DisplayArrayInTable(Fertiliser_SourceData.Fertiliser_Products_Data5(),FertiliserProducts[[#Headers],[Company]], 121)</f>
        <v>15.17</v>
      </c>
      <c r="O221" s="148" t="str" cm="1">
        <f t="array" ref="O221">Common_InputFunctions.Utility_DisplayArrayInTable(Fertiliser_SourceData.Fertiliser_Products_Data5(),FertiliserProducts[[#Headers],[Company]], 121)</f>
        <v>Sulphate of ammonia (SOA)</v>
      </c>
      <c r="P221" s="148" cm="1">
        <f t="array" ref="P221">Common_InputFunctions.Utility_DisplayArrayInTable(Fertiliser_SourceData.Fertiliser_Products_Data5(),FertiliserProducts[[#Headers],[Company]], 121)</f>
        <v>0.63200000000000001</v>
      </c>
      <c r="Q221" s="148" t="str" cm="1">
        <f t="array" ref="Q221">Common_InputFunctions.Utility_DisplayArrayInTable(Fertiliser_SourceData.Fertiliser_Products_Data5(),FertiliserProducts[[#Headers],[Company]], 121)</f>
        <v>Monoammonium phosphate (MAP)</v>
      </c>
      <c r="R221" s="148" cm="1">
        <f t="array" ref="R221">Common_InputFunctions.Utility_DisplayArrayInTable(Fertiliser_SourceData.Fertiliser_Products_Data5(),FertiliserProducts[[#Headers],[Company]], 121)</f>
        <v>0.36799999999999999</v>
      </c>
      <c r="S221" s="148" t="str" cm="1">
        <f t="array" ref="S221">Common_InputFunctions.Utility_DisplayArrayInTable(Fertiliser_SourceData.Fertiliser_Products_Data5(),FertiliserProducts[[#Headers],[Company]], 121)</f>
        <v>Zinc</v>
      </c>
      <c r="T221" s="148" t="str" cm="1">
        <f t="array" ref="T221">Common_InputFunctions.Utility_DisplayArrayInTable(Fertiliser_SourceData.Fertiliser_Products_Data5(),FertiliserProducts[[#Headers],[Company]], 121)</f>
        <v>No data</v>
      </c>
      <c r="U221" s="148" t="str" cm="1">
        <f t="array" ref="U221">Common_InputFunctions.Utility_DisplayArrayInTable(Fertiliser_SourceData.Fertiliser_Products_Data5(),FertiliserProducts[[#Headers],[Company]], 121)</f>
        <v>Copper</v>
      </c>
      <c r="V221" s="148" t="str" cm="1">
        <f t="array" ref="V221">Common_InputFunctions.Utility_DisplayArrayInTable(Fertiliser_SourceData.Fertiliser_Products_Data5(),FertiliserProducts[[#Headers],[Company]], 121)</f>
        <v>No data</v>
      </c>
      <c r="W221" s="148" t="str" cm="1">
        <f t="array" ref="W221">Common_InputFunctions.Utility_DisplayArrayInTable(Fertiliser_SourceData.Fertiliser_Products_Data5(),FertiliserProducts[[#Headers],[Company]], 121)</f>
        <v>Molybdenum</v>
      </c>
      <c r="X221" s="148" t="str" cm="1">
        <f t="array" ref="X221">Common_InputFunctions.Utility_DisplayArrayInTable(Fertiliser_SourceData.Fertiliser_Products_Data5(),FertiliserProducts[[#Headers],[Company]], 121)</f>
        <v>No data</v>
      </c>
      <c r="Y221" s="148" t="str" cm="1">
        <f t="array" ref="Y221">Common_InputFunctions.Utility_DisplayArrayInTable(Fertiliser_SourceData.Fertiliser_Products_Data5(),FertiliserProducts[[#Headers],[Company]], 121)</f>
        <v>Cobalt</v>
      </c>
      <c r="Z221" s="148" t="str" cm="1">
        <f t="array" ref="Z221">Common_InputFunctions.Utility_DisplayArrayInTable(Fertiliser_SourceData.Fertiliser_Products_Data5(),FertiliserProducts[[#Headers],[Company]], 121)</f>
        <v>No data</v>
      </c>
      <c r="AA221" s="148" t="str" cm="1">
        <f t="array" ref="AA221">Common_InputFunctions.Utility_DisplayArrayInTable(Fertiliser_SourceData.Fertiliser_Products_Data5(),FertiliserProducts[[#Headers],[Company]], 121)</f>
        <v/>
      </c>
      <c r="AB221" s="148" t="str" cm="1">
        <f t="array" ref="AB221">Common_InputFunctions.Utility_DisplayArrayInTable(Fertiliser_SourceData.Fertiliser_Products_Data5(),FertiliserProducts[[#Headers],[Company]], 121)</f>
        <v/>
      </c>
      <c r="AC221" s="148" t="str" cm="1">
        <f t="array" ref="AC221">Common_InputFunctions.Utility_DisplayArrayInTable(Fertiliser_SourceData.Fertiliser_Products_Data5(),FertiliserProducts[[#Headers],[Company]], 121)</f>
        <v/>
      </c>
      <c r="AD221" s="148" t="str" cm="1">
        <f t="array" ref="AD221">Common_InputFunctions.Utility_DisplayArrayInTable(Fertiliser_SourceData.Fertiliser_Products_Data5(),FertiliserProducts[[#Headers],[Company]], 121)</f>
        <v/>
      </c>
      <c r="AE221" s="148" t="str" cm="1">
        <f t="array" ref="AE221">Common_InputFunctions.Utility_DisplayArrayInTable(Fertiliser_SourceData.Fertiliser_Products_Data5(),FertiliserProducts[[#Headers],[Company]], 121)</f>
        <v/>
      </c>
      <c r="AF221" s="148" t="str" cm="1">
        <f t="array" ref="AF221">Common_InputFunctions.Utility_DisplayArrayInTable(Fertiliser_SourceData.Fertiliser_Products_Data5(),FertiliserProducts[[#Headers],[Company]], 121)</f>
        <v/>
      </c>
      <c r="AG221" s="148" t="str" cm="1">
        <f t="array" ref="AG221">Common_InputFunctions.Utility_DisplayArrayInTable(Fertiliser_SourceData.Fertiliser_Products_Data5(),FertiliserProducts[[#Headers],[Company]], 121)</f>
        <v/>
      </c>
      <c r="AH221" s="148" t="str" cm="1">
        <f t="array" ref="AH221">Common_InputFunctions.Utility_DisplayArrayInTable(Fertiliser_SourceData.Fertiliser_Products_Data5(),FertiliserProducts[[#Headers],[Company]], 121)</f>
        <v/>
      </c>
    </row>
    <row r="222" spans="1:34" ht="20.100000000000001" customHeight="1" x14ac:dyDescent="0.2">
      <c r="D222" s="148" t="str" cm="1">
        <f t="array" ref="D222">Common_InputFunctions.Utility_DisplayArrayInTable(Fertiliser_SourceData.Fertiliser_Products_Data5(),FertiliserProducts[[#Headers],[Company]], 121)</f>
        <v>CSBP</v>
      </c>
      <c r="E222" s="148" t="str" cm="1">
        <f t="array" ref="E222">Common_InputFunctions.Utility_DisplayArrayInTable(Fertiliser_SourceData.Fertiliser_Products_Data5(),FertiliserProducts[[#Headers],[Company]], 121)</f>
        <v>Super Copper Zinc Moly</v>
      </c>
      <c r="F222" s="148" t="str" cm="1">
        <f t="array" ref="F222">Common_InputFunctions.Utility_DisplayArrayInTable(Fertiliser_SourceData.Fertiliser_Products_Data5(),FertiliserProducts[[#Headers],[Company]], 121)</f>
        <v>kg</v>
      </c>
      <c r="G222" s="148" cm="1">
        <f t="array" ref="G222">Common_InputFunctions.Utility_DisplayArrayInTable(Fertiliser_SourceData.Fertiliser_Products_Data5(),FertiliserProducts[[#Headers],[Company]], 121)</f>
        <v>1</v>
      </c>
      <c r="H222" s="148" t="str" cm="1">
        <f t="array" ref="H222">Common_InputFunctions.Utility_DisplayArrayInTable(Fertiliser_SourceData.Fertiliser_Products_Data5(),FertiliserProducts[[#Headers],[Company]], 121)</f>
        <v/>
      </c>
      <c r="I222" s="148" t="str" cm="1">
        <f t="array" ref="I222">Common_InputFunctions.Utility_DisplayArrayInTable(Fertiliser_SourceData.Fertiliser_Products_Data5(),FertiliserProducts[[#Headers],[Company]], 121)</f>
        <v/>
      </c>
      <c r="J222" s="148" t="str" cm="1">
        <f t="array" ref="J222">Common_InputFunctions.Utility_DisplayArrayInTable(Fertiliser_SourceData.Fertiliser_Products_Data5(),FertiliserProducts[[#Headers],[Company]], 121)</f>
        <v/>
      </c>
      <c r="K222" s="148" t="str" cm="1">
        <f t="array" ref="K222">Common_InputFunctions.Utility_DisplayArrayInTable(Fertiliser_SourceData.Fertiliser_Products_Data5(),FertiliserProducts[[#Headers],[Company]], 121)</f>
        <v/>
      </c>
      <c r="L222" s="148" cm="1">
        <f t="array" ref="L222">Common_InputFunctions.Utility_DisplayArrayInTable(Fertiliser_SourceData.Fertiliser_Products_Data5(),FertiliserProducts[[#Headers],[Company]], 121)</f>
        <v>8.8000000000000007</v>
      </c>
      <c r="M222" s="148" t="str" cm="1">
        <f t="array" ref="M222">Common_InputFunctions.Utility_DisplayArrayInTable(Fertiliser_SourceData.Fertiliser_Products_Data5(),FertiliserProducts[[#Headers],[Company]], 121)</f>
        <v/>
      </c>
      <c r="N222" s="148" cm="1">
        <f t="array" ref="N222">Common_InputFunctions.Utility_DisplayArrayInTable(Fertiliser_SourceData.Fertiliser_Products_Data5(),FertiliserProducts[[#Headers],[Company]], 121)</f>
        <v>11</v>
      </c>
      <c r="O222" s="148" t="str" cm="1">
        <f t="array" ref="O222">Common_InputFunctions.Utility_DisplayArrayInTable(Fertiliser_SourceData.Fertiliser_Products_Data5(),FertiliserProducts[[#Headers],[Company]], 121)</f>
        <v>Single superphosphate (SSP)</v>
      </c>
      <c r="P222" s="148" cm="1">
        <f t="array" ref="P222">Common_InputFunctions.Utility_DisplayArrayInTable(Fertiliser_SourceData.Fertiliser_Products_Data5(),FertiliserProducts[[#Headers],[Company]], 121)</f>
        <v>1</v>
      </c>
      <c r="Q222" s="148" t="str" cm="1">
        <f t="array" ref="Q222">Common_InputFunctions.Utility_DisplayArrayInTable(Fertiliser_SourceData.Fertiliser_Products_Data5(),FertiliserProducts[[#Headers],[Company]], 121)</f>
        <v>Copper</v>
      </c>
      <c r="R222" s="148" cm="1">
        <f t="array" ref="R222">Common_InputFunctions.Utility_DisplayArrayInTable(Fertiliser_SourceData.Fertiliser_Products_Data5(),FertiliserProducts[[#Headers],[Company]], 121)</f>
        <v>6.0000000000000001E-3</v>
      </c>
      <c r="S222" s="148" t="str" cm="1">
        <f t="array" ref="S222">Common_InputFunctions.Utility_DisplayArrayInTable(Fertiliser_SourceData.Fertiliser_Products_Data5(),FertiliserProducts[[#Headers],[Company]], 121)</f>
        <v>Zinc</v>
      </c>
      <c r="T222" s="148" cm="1">
        <f t="array" ref="T222">Common_InputFunctions.Utility_DisplayArrayInTable(Fertiliser_SourceData.Fertiliser_Products_Data5(),FertiliserProducts[[#Headers],[Company]], 121)</f>
        <v>3.0000000000000001E-3</v>
      </c>
      <c r="U222" s="148" t="str" cm="1">
        <f t="array" ref="U222">Common_InputFunctions.Utility_DisplayArrayInTable(Fertiliser_SourceData.Fertiliser_Products_Data5(),FertiliserProducts[[#Headers],[Company]], 121)</f>
        <v>Molybdenum</v>
      </c>
      <c r="V222" s="148" cm="1">
        <f t="array" ref="V222">Common_InputFunctions.Utility_DisplayArrayInTable(Fertiliser_SourceData.Fertiliser_Products_Data5(),FertiliserProducts[[#Headers],[Company]], 121)</f>
        <v>5.9999999999999995E-4</v>
      </c>
      <c r="W222" s="148" t="str" cm="1">
        <f t="array" ref="W222">Common_InputFunctions.Utility_DisplayArrayInTable(Fertiliser_SourceData.Fertiliser_Products_Data5(),FertiliserProducts[[#Headers],[Company]], 121)</f>
        <v/>
      </c>
      <c r="X222" s="148" t="str" cm="1">
        <f t="array" ref="X222">Common_InputFunctions.Utility_DisplayArrayInTable(Fertiliser_SourceData.Fertiliser_Products_Data5(),FertiliserProducts[[#Headers],[Company]], 121)</f>
        <v/>
      </c>
      <c r="Y222" s="148" t="str" cm="1">
        <f t="array" ref="Y222">Common_InputFunctions.Utility_DisplayArrayInTable(Fertiliser_SourceData.Fertiliser_Products_Data5(),FertiliserProducts[[#Headers],[Company]], 121)</f>
        <v/>
      </c>
      <c r="Z222" s="148" t="str" cm="1">
        <f t="array" ref="Z222">Common_InputFunctions.Utility_DisplayArrayInTable(Fertiliser_SourceData.Fertiliser_Products_Data5(),FertiliserProducts[[#Headers],[Company]], 121)</f>
        <v/>
      </c>
      <c r="AA222" s="148" t="str" cm="1">
        <f t="array" ref="AA222">Common_InputFunctions.Utility_DisplayArrayInTable(Fertiliser_SourceData.Fertiliser_Products_Data5(),FertiliserProducts[[#Headers],[Company]], 121)</f>
        <v/>
      </c>
      <c r="AB222" s="148" t="str" cm="1">
        <f t="array" ref="AB222">Common_InputFunctions.Utility_DisplayArrayInTable(Fertiliser_SourceData.Fertiliser_Products_Data5(),FertiliserProducts[[#Headers],[Company]], 121)</f>
        <v/>
      </c>
      <c r="AC222" s="148" t="str" cm="1">
        <f t="array" ref="AC222">Common_InputFunctions.Utility_DisplayArrayInTable(Fertiliser_SourceData.Fertiliser_Products_Data5(),FertiliserProducts[[#Headers],[Company]], 121)</f>
        <v/>
      </c>
      <c r="AD222" s="148" t="str" cm="1">
        <f t="array" ref="AD222">Common_InputFunctions.Utility_DisplayArrayInTable(Fertiliser_SourceData.Fertiliser_Products_Data5(),FertiliserProducts[[#Headers],[Company]], 121)</f>
        <v/>
      </c>
      <c r="AE222" s="148" t="str" cm="1">
        <f t="array" ref="AE222">Common_InputFunctions.Utility_DisplayArrayInTable(Fertiliser_SourceData.Fertiliser_Products_Data5(),FertiliserProducts[[#Headers],[Company]], 121)</f>
        <v/>
      </c>
      <c r="AF222" s="148" t="str" cm="1">
        <f t="array" ref="AF222">Common_InputFunctions.Utility_DisplayArrayInTable(Fertiliser_SourceData.Fertiliser_Products_Data5(),FertiliserProducts[[#Headers],[Company]], 121)</f>
        <v/>
      </c>
      <c r="AG222" s="148" t="str" cm="1">
        <f t="array" ref="AG222">Common_InputFunctions.Utility_DisplayArrayInTable(Fertiliser_SourceData.Fertiliser_Products_Data5(),FertiliserProducts[[#Headers],[Company]], 121)</f>
        <v/>
      </c>
      <c r="AH222" s="148" t="str" cm="1">
        <f t="array" ref="AH222">Common_InputFunctions.Utility_DisplayArrayInTable(Fertiliser_SourceData.Fertiliser_Products_Data5(),FertiliserProducts[[#Headers],[Company]], 121)</f>
        <v/>
      </c>
    </row>
    <row r="223" spans="1:34" ht="20.100000000000001" customHeight="1" x14ac:dyDescent="0.2">
      <c r="D223" s="148" t="str" cm="1">
        <f t="array" ref="D223">Common_InputFunctions.Utility_DisplayArrayInTable(Fertiliser_SourceData.Fertiliser_Products_Data5(),FertiliserProducts[[#Headers],[Company]], 121)</f>
        <v>CSBP</v>
      </c>
      <c r="E223" s="148" t="str" cm="1">
        <f t="array" ref="E223">Common_InputFunctions.Utility_DisplayArrayInTable(Fertiliser_SourceData.Fertiliser_Products_Data5(),FertiliserProducts[[#Headers],[Company]], 121)</f>
        <v>Flexi-N</v>
      </c>
      <c r="F223" s="148" t="str" cm="1">
        <f t="array" ref="F223">Common_InputFunctions.Utility_DisplayArrayInTable(Fertiliser_SourceData.Fertiliser_Products_Data5(),FertiliserProducts[[#Headers],[Company]], 121)</f>
        <v>L</v>
      </c>
      <c r="G223" s="148" cm="1">
        <f t="array" ref="G223">Common_InputFunctions.Utility_DisplayArrayInTable(Fertiliser_SourceData.Fertiliser_Products_Data5(),FertiliserProducts[[#Headers],[Company]], 121)</f>
        <v>1.32</v>
      </c>
      <c r="H223" s="148" t="str" cm="1">
        <f t="array" ref="H223">Common_InputFunctions.Utility_DisplayArrayInTable(Fertiliser_SourceData.Fertiliser_Products_Data5(),FertiliserProducts[[#Headers],[Company]], 121)</f>
        <v/>
      </c>
      <c r="I223" s="148" t="str" cm="1">
        <f t="array" ref="I223">Common_InputFunctions.Utility_DisplayArrayInTable(Fertiliser_SourceData.Fertiliser_Products_Data5(),FertiliserProducts[[#Headers],[Company]], 121)</f>
        <v/>
      </c>
      <c r="J223" s="148" t="str" cm="1">
        <f t="array" ref="J223">Common_InputFunctions.Utility_DisplayArrayInTable(Fertiliser_SourceData.Fertiliser_Products_Data5(),FertiliserProducts[[#Headers],[Company]], 121)</f>
        <v/>
      </c>
      <c r="K223" s="148" cm="1">
        <f t="array" ref="K223">Common_InputFunctions.Utility_DisplayArrayInTable(Fertiliser_SourceData.Fertiliser_Products_Data5(),FertiliserProducts[[#Headers],[Company]], 121)</f>
        <v>32</v>
      </c>
      <c r="L223" s="148" t="str" cm="1">
        <f t="array" ref="L223">Common_InputFunctions.Utility_DisplayArrayInTable(Fertiliser_SourceData.Fertiliser_Products_Data5(),FertiliserProducts[[#Headers],[Company]], 121)</f>
        <v/>
      </c>
      <c r="M223" s="148" t="str" cm="1">
        <f t="array" ref="M223">Common_InputFunctions.Utility_DisplayArrayInTable(Fertiliser_SourceData.Fertiliser_Products_Data5(),FertiliserProducts[[#Headers],[Company]], 121)</f>
        <v/>
      </c>
      <c r="N223" s="148" t="str" cm="1">
        <f t="array" ref="N223">Common_InputFunctions.Utility_DisplayArrayInTable(Fertiliser_SourceData.Fertiliser_Products_Data5(),FertiliserProducts[[#Headers],[Company]], 121)</f>
        <v/>
      </c>
      <c r="O223" s="148" t="str" cm="1">
        <f t="array" ref="O223">Common_InputFunctions.Utility_DisplayArrayInTable(Fertiliser_SourceData.Fertiliser_Products_Data5(),FertiliserProducts[[#Headers],[Company]], 121)</f>
        <v>Urea-ammonium nitrate (UAN)</v>
      </c>
      <c r="P223" s="148" cm="1">
        <f t="array" ref="P223">Common_InputFunctions.Utility_DisplayArrayInTable(Fertiliser_SourceData.Fertiliser_Products_Data5(),FertiliserProducts[[#Headers],[Company]], 121)</f>
        <v>1</v>
      </c>
      <c r="Q223" s="148" t="str" cm="1">
        <f t="array" ref="Q223">Common_InputFunctions.Utility_DisplayArrayInTable(Fertiliser_SourceData.Fertiliser_Products_Data5(),FertiliserProducts[[#Headers],[Company]], 121)</f>
        <v/>
      </c>
      <c r="R223" s="148" t="str" cm="1">
        <f t="array" ref="R223">Common_InputFunctions.Utility_DisplayArrayInTable(Fertiliser_SourceData.Fertiliser_Products_Data5(),FertiliserProducts[[#Headers],[Company]], 121)</f>
        <v/>
      </c>
      <c r="S223" s="148" t="str" cm="1">
        <f t="array" ref="S223">Common_InputFunctions.Utility_DisplayArrayInTable(Fertiliser_SourceData.Fertiliser_Products_Data5(),FertiliserProducts[[#Headers],[Company]], 121)</f>
        <v/>
      </c>
      <c r="T223" s="148" t="str" cm="1">
        <f t="array" ref="T223">Common_InputFunctions.Utility_DisplayArrayInTable(Fertiliser_SourceData.Fertiliser_Products_Data5(),FertiliserProducts[[#Headers],[Company]], 121)</f>
        <v/>
      </c>
      <c r="U223" s="148" t="str" cm="1">
        <f t="array" ref="U223">Common_InputFunctions.Utility_DisplayArrayInTable(Fertiliser_SourceData.Fertiliser_Products_Data5(),FertiliserProducts[[#Headers],[Company]], 121)</f>
        <v/>
      </c>
      <c r="V223" s="148" t="str" cm="1">
        <f t="array" ref="V223">Common_InputFunctions.Utility_DisplayArrayInTable(Fertiliser_SourceData.Fertiliser_Products_Data5(),FertiliserProducts[[#Headers],[Company]], 121)</f>
        <v/>
      </c>
      <c r="W223" s="148" t="str" cm="1">
        <f t="array" ref="W223">Common_InputFunctions.Utility_DisplayArrayInTable(Fertiliser_SourceData.Fertiliser_Products_Data5(),FertiliserProducts[[#Headers],[Company]], 121)</f>
        <v/>
      </c>
      <c r="X223" s="148" t="str" cm="1">
        <f t="array" ref="X223">Common_InputFunctions.Utility_DisplayArrayInTable(Fertiliser_SourceData.Fertiliser_Products_Data5(),FertiliserProducts[[#Headers],[Company]], 121)</f>
        <v/>
      </c>
      <c r="Y223" s="148" t="str" cm="1">
        <f t="array" ref="Y223">Common_InputFunctions.Utility_DisplayArrayInTable(Fertiliser_SourceData.Fertiliser_Products_Data5(),FertiliserProducts[[#Headers],[Company]], 121)</f>
        <v/>
      </c>
      <c r="Z223" s="148" t="str" cm="1">
        <f t="array" ref="Z223">Common_InputFunctions.Utility_DisplayArrayInTable(Fertiliser_SourceData.Fertiliser_Products_Data5(),FertiliserProducts[[#Headers],[Company]], 121)</f>
        <v/>
      </c>
      <c r="AA223" s="148" t="str" cm="1">
        <f t="array" ref="AA223">Common_InputFunctions.Utility_DisplayArrayInTable(Fertiliser_SourceData.Fertiliser_Products_Data5(),FertiliserProducts[[#Headers],[Company]], 121)</f>
        <v/>
      </c>
      <c r="AB223" s="148" t="str" cm="1">
        <f t="array" ref="AB223">Common_InputFunctions.Utility_DisplayArrayInTable(Fertiliser_SourceData.Fertiliser_Products_Data5(),FertiliserProducts[[#Headers],[Company]], 121)</f>
        <v/>
      </c>
      <c r="AC223" s="148" t="str" cm="1">
        <f t="array" ref="AC223">Common_InputFunctions.Utility_DisplayArrayInTable(Fertiliser_SourceData.Fertiliser_Products_Data5(),FertiliserProducts[[#Headers],[Company]], 121)</f>
        <v/>
      </c>
      <c r="AD223" s="148" t="str" cm="1">
        <f t="array" ref="AD223">Common_InputFunctions.Utility_DisplayArrayInTable(Fertiliser_SourceData.Fertiliser_Products_Data5(),FertiliserProducts[[#Headers],[Company]], 121)</f>
        <v/>
      </c>
      <c r="AE223" s="148" t="str" cm="1">
        <f t="array" ref="AE223">Common_InputFunctions.Utility_DisplayArrayInTable(Fertiliser_SourceData.Fertiliser_Products_Data5(),FertiliserProducts[[#Headers],[Company]], 121)</f>
        <v/>
      </c>
      <c r="AF223" s="148" t="str" cm="1">
        <f t="array" ref="AF223">Common_InputFunctions.Utility_DisplayArrayInTable(Fertiliser_SourceData.Fertiliser_Products_Data5(),FertiliserProducts[[#Headers],[Company]], 121)</f>
        <v/>
      </c>
      <c r="AG223" s="148" t="str" cm="1">
        <f t="array" ref="AG223">Common_InputFunctions.Utility_DisplayArrayInTable(Fertiliser_SourceData.Fertiliser_Products_Data5(),FertiliserProducts[[#Headers],[Company]], 121)</f>
        <v/>
      </c>
      <c r="AH223" s="148"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173A7-29EF-45AD-AECD-345BA90EB7B3}">
  <sheetPr>
    <tabColor theme="2" tint="-0.499984740745262"/>
  </sheetPr>
  <dimension ref="A1:AI16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638</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54"/>
      <c r="F5" s="154"/>
      <c r="G5" s="154"/>
      <c r="H5" s="154"/>
      <c r="I5" s="154"/>
      <c r="J5" s="154"/>
      <c r="K5" s="154"/>
      <c r="L5" s="154"/>
    </row>
    <row r="6" spans="1:35" ht="20.100000000000001" customHeight="1" x14ac:dyDescent="0.2">
      <c r="D6" s="1" t="str" cm="1">
        <f t="array" ref="D6">Fuel_SourceData.Fuel_Scope1Scope3EmissionFactorsTransport_Description()</f>
        <v>Direct (scope 1) and indirect (scope 3) emission factors for the consumption of transport fuels in different transport equipment</v>
      </c>
      <c r="E6" s="154"/>
      <c r="F6" s="154"/>
      <c r="G6" s="154"/>
      <c r="H6" s="154"/>
      <c r="I6" s="154"/>
      <c r="J6" s="154"/>
      <c r="K6" s="154"/>
      <c r="L6" s="154"/>
    </row>
    <row r="7" spans="1:35" ht="20.100000000000001" customHeight="1" x14ac:dyDescent="0.2">
      <c r="D7" s="17" t="str" cm="1">
        <f t="array" ref="D7">Fuel_SourceData.Fuel_Scope1Scope3EmissionFactorsTransport_Source()</f>
        <v>Australian National Greenhouse Accounts Factors 2025 - Table 9</v>
      </c>
      <c r="E7" s="154"/>
      <c r="F7" s="154"/>
      <c r="G7" s="154"/>
      <c r="H7" s="154"/>
      <c r="I7" s="154"/>
      <c r="J7" s="154"/>
      <c r="K7" s="154"/>
      <c r="L7" s="154"/>
    </row>
    <row r="8" spans="1:35" ht="20.100000000000001" customHeight="1" x14ac:dyDescent="0.2">
      <c r="A8" s="7" t="s">
        <v>0</v>
      </c>
      <c r="D8" s="25" t="str" cm="1">
        <f t="array" ref="D8">"⚠️" &amp; Fuel_SourceData.Fuel_Scope1Scope3EmissionFactorsTransport_Variation()</f>
        <v>⚠️VARIATION OF SOURCE DATA: 'NE' values returned as zero for calculations.</v>
      </c>
      <c r="E8" s="154"/>
      <c r="F8" s="154"/>
      <c r="G8" s="154"/>
      <c r="H8" s="154"/>
      <c r="I8" s="154"/>
      <c r="J8" s="154"/>
      <c r="K8" s="154"/>
      <c r="L8" s="154"/>
    </row>
    <row r="9" spans="1:35" ht="20.100000000000001" customHeight="1" x14ac:dyDescent="0.2">
      <c r="A9" s="5" t="str">
        <f>HYPERLINK("#'Input - Enterprise'!A1", "Enterprise")</f>
        <v>Enterprise</v>
      </c>
      <c r="D9" s="181" t="s">
        <v>639</v>
      </c>
      <c r="E9" s="181" t="s">
        <v>640</v>
      </c>
      <c r="F9" s="181" t="s">
        <v>641</v>
      </c>
      <c r="G9" s="181" t="s">
        <v>642</v>
      </c>
      <c r="H9" s="181" t="s">
        <v>643</v>
      </c>
      <c r="I9" s="181" t="s">
        <v>644</v>
      </c>
      <c r="J9" s="181" t="s">
        <v>645</v>
      </c>
      <c r="K9" s="181" t="s">
        <v>646</v>
      </c>
      <c r="L9" s="181" t="s">
        <v>647</v>
      </c>
    </row>
    <row r="10" spans="1:35" ht="20.100000000000001" customHeight="1" x14ac:dyDescent="0.2">
      <c r="A10" s="5" t="str">
        <f>HYPERLINK("#'Input - Site'!A1", "Site")</f>
        <v>Site</v>
      </c>
      <c r="D10" s="182" t="str" cm="1">
        <f t="array" ref="D10">Common_InputFunctions.Utility_DisplayArrayInTable(Fuel_SourceData.Fuel_Scope1Scope3EmissionFactorsTransport_Data(), Table_Fuel_EFs_Transport[[#Headers],[Transport type]], 0)</f>
        <v>Cars and light commercial vehicles</v>
      </c>
      <c r="E10" s="182" t="str" cm="1">
        <f t="array" ref="E10">Common_InputFunctions.Utility_DisplayArrayInTable(Fuel_SourceData.Fuel_Scope1Scope3EmissionFactorsTransport_Data(), Table_Fuel_EFs_Transport[[#Headers],[Transport type]], 0)</f>
        <v>Gasoline</v>
      </c>
      <c r="F10" s="182" cm="1">
        <f t="array" ref="F10">Common_InputFunctions.Utility_DisplayArrayInTable(Fuel_SourceData.Fuel_Scope1Scope3EmissionFactorsTransport_Data(), Table_Fuel_EFs_Transport[[#Headers],[Transport type]], 0)</f>
        <v>34.200000000000003</v>
      </c>
      <c r="G10" s="182" t="str" cm="1">
        <f t="array" ref="G10">Common_InputFunctions.Utility_DisplayArrayInTable(Fuel_SourceData.Fuel_Scope1Scope3EmissionFactorsTransport_Data(), Table_Fuel_EFs_Transport[[#Headers],[Transport type]], 0)</f>
        <v>kl</v>
      </c>
      <c r="H10" s="182" cm="1">
        <f t="array" ref="H10">Common_InputFunctions.Utility_DisplayArrayInTable(Fuel_SourceData.Fuel_Scope1Scope3EmissionFactorsTransport_Data(), Table_Fuel_EFs_Transport[[#Headers],[Transport type]], 0)</f>
        <v>67.400000000000006</v>
      </c>
      <c r="I10" s="182" cm="1">
        <f t="array" ref="I10">Common_InputFunctions.Utility_DisplayArrayInTable(Fuel_SourceData.Fuel_Scope1Scope3EmissionFactorsTransport_Data(), Table_Fuel_EFs_Transport[[#Headers],[Transport type]], 0)</f>
        <v>0.02</v>
      </c>
      <c r="J10" s="182" cm="1">
        <f t="array" ref="J10">Common_InputFunctions.Utility_DisplayArrayInTable(Fuel_SourceData.Fuel_Scope1Scope3EmissionFactorsTransport_Data(), Table_Fuel_EFs_Transport[[#Headers],[Transport type]], 0)</f>
        <v>0.2</v>
      </c>
      <c r="K10" s="182" cm="1">
        <f t="array" ref="K10">Common_InputFunctions.Utility_DisplayArrayInTable(Fuel_SourceData.Fuel_Scope1Scope3EmissionFactorsTransport_Data(), Table_Fuel_EFs_Transport[[#Headers],[Transport type]], 0)</f>
        <v>67.62</v>
      </c>
      <c r="L10" s="182" cm="1">
        <f t="array" ref="L10">Common_InputFunctions.Utility_DisplayArrayInTable(Fuel_SourceData.Fuel_Scope1Scope3EmissionFactorsTransport_Data(), Table_Fuel_EFs_Transport[[#Headers],[Transport type]], 0)</f>
        <v>17.2</v>
      </c>
    </row>
    <row r="11" spans="1:35" ht="20.100000000000001" customHeight="1" x14ac:dyDescent="0.2">
      <c r="A11" s="5" t="str">
        <f>HYPERLINK("#'Input - Poultry'!A1", "Poultry")</f>
        <v>Poultry</v>
      </c>
      <c r="D11" s="182" t="str" cm="1">
        <f t="array" ref="D11">Common_InputFunctions.Utility_DisplayArrayInTable(Fuel_SourceData.Fuel_Scope1Scope3EmissionFactorsTransport_Data(), Table_Fuel_EFs_Transport[[#Headers],[Transport type]], 0)</f>
        <v>Cars and light commercial vehicles</v>
      </c>
      <c r="E11" s="182" t="str" cm="1">
        <f t="array" ref="E11">Common_InputFunctions.Utility_DisplayArrayInTable(Fuel_SourceData.Fuel_Scope1Scope3EmissionFactorsTransport_Data(), Table_Fuel_EFs_Transport[[#Headers],[Transport type]], 0)</f>
        <v>Diesel oil</v>
      </c>
      <c r="F11" s="182" cm="1">
        <f t="array" ref="F11">Common_InputFunctions.Utility_DisplayArrayInTable(Fuel_SourceData.Fuel_Scope1Scope3EmissionFactorsTransport_Data(), Table_Fuel_EFs_Transport[[#Headers],[Transport type]], 0)</f>
        <v>38.6</v>
      </c>
      <c r="G11" s="182" t="str" cm="1">
        <f t="array" ref="G11">Common_InputFunctions.Utility_DisplayArrayInTable(Fuel_SourceData.Fuel_Scope1Scope3EmissionFactorsTransport_Data(), Table_Fuel_EFs_Transport[[#Headers],[Transport type]], 0)</f>
        <v>kl</v>
      </c>
      <c r="H11" s="182" cm="1">
        <f t="array" ref="H11">Common_InputFunctions.Utility_DisplayArrayInTable(Fuel_SourceData.Fuel_Scope1Scope3EmissionFactorsTransport_Data(), Table_Fuel_EFs_Transport[[#Headers],[Transport type]], 0)</f>
        <v>69.900000000000006</v>
      </c>
      <c r="I11" s="182" cm="1">
        <f t="array" ref="I11">Common_InputFunctions.Utility_DisplayArrayInTable(Fuel_SourceData.Fuel_Scope1Scope3EmissionFactorsTransport_Data(), Table_Fuel_EFs_Transport[[#Headers],[Transport type]], 0)</f>
        <v>0.01</v>
      </c>
      <c r="J11" s="182" cm="1">
        <f t="array" ref="J11">Common_InputFunctions.Utility_DisplayArrayInTable(Fuel_SourceData.Fuel_Scope1Scope3EmissionFactorsTransport_Data(), Table_Fuel_EFs_Transport[[#Headers],[Transport type]], 0)</f>
        <v>0.5</v>
      </c>
      <c r="K11" s="182" cm="1">
        <f t="array" ref="K11">Common_InputFunctions.Utility_DisplayArrayInTable(Fuel_SourceData.Fuel_Scope1Scope3EmissionFactorsTransport_Data(), Table_Fuel_EFs_Transport[[#Headers],[Transport type]], 0)</f>
        <v>70.41</v>
      </c>
      <c r="L11" s="182" cm="1">
        <f t="array" ref="L11">Common_InputFunctions.Utility_DisplayArrayInTable(Fuel_SourceData.Fuel_Scope1Scope3EmissionFactorsTransport_Data(), Table_Fuel_EFs_Transport[[#Headers],[Transport type]], 0)</f>
        <v>17.3</v>
      </c>
    </row>
    <row r="12" spans="1:35" ht="20.100000000000001" customHeight="1" x14ac:dyDescent="0.2">
      <c r="A12" s="5" t="str">
        <f>HYPERLINK("#'Input - Livestock sales'!A1", "Livestock sales")</f>
        <v>Livestock sales</v>
      </c>
      <c r="D12" s="182" t="str" cm="1">
        <f t="array" ref="D12">Common_InputFunctions.Utility_DisplayArrayInTable(Fuel_SourceData.Fuel_Scope1Scope3EmissionFactorsTransport_Data(), Table_Fuel_EFs_Transport[[#Headers],[Transport type]], 0)</f>
        <v>Cars and light commercial vehicles</v>
      </c>
      <c r="E12" s="182" t="str" cm="1">
        <f t="array" ref="E12">Common_InputFunctions.Utility_DisplayArrayInTable(Fuel_SourceData.Fuel_Scope1Scope3EmissionFactorsTransport_Data(), Table_Fuel_EFs_Transport[[#Headers],[Transport type]], 0)</f>
        <v>Liquefied petroleum gas (LPG)</v>
      </c>
      <c r="F12" s="182" cm="1">
        <f t="array" ref="F12">Common_InputFunctions.Utility_DisplayArrayInTable(Fuel_SourceData.Fuel_Scope1Scope3EmissionFactorsTransport_Data(), Table_Fuel_EFs_Transport[[#Headers],[Transport type]], 0)</f>
        <v>26.2</v>
      </c>
      <c r="G12" s="182" t="str" cm="1">
        <f t="array" ref="G12">Common_InputFunctions.Utility_DisplayArrayInTable(Fuel_SourceData.Fuel_Scope1Scope3EmissionFactorsTransport_Data(), Table_Fuel_EFs_Transport[[#Headers],[Transport type]], 0)</f>
        <v>kl</v>
      </c>
      <c r="H12" s="182" cm="1">
        <f t="array" ref="H12">Common_InputFunctions.Utility_DisplayArrayInTable(Fuel_SourceData.Fuel_Scope1Scope3EmissionFactorsTransport_Data(), Table_Fuel_EFs_Transport[[#Headers],[Transport type]], 0)</f>
        <v>60.2</v>
      </c>
      <c r="I12" s="182" cm="1">
        <f t="array" ref="I12">Common_InputFunctions.Utility_DisplayArrayInTable(Fuel_SourceData.Fuel_Scope1Scope3EmissionFactorsTransport_Data(), Table_Fuel_EFs_Transport[[#Headers],[Transport type]], 0)</f>
        <v>0.5</v>
      </c>
      <c r="J12" s="182" cm="1">
        <f t="array" ref="J12">Common_InputFunctions.Utility_DisplayArrayInTable(Fuel_SourceData.Fuel_Scope1Scope3EmissionFactorsTransport_Data(), Table_Fuel_EFs_Transport[[#Headers],[Transport type]], 0)</f>
        <v>0.3</v>
      </c>
      <c r="K12" s="182" cm="1">
        <f t="array" ref="K12">Common_InputFunctions.Utility_DisplayArrayInTable(Fuel_SourceData.Fuel_Scope1Scope3EmissionFactorsTransport_Data(), Table_Fuel_EFs_Transport[[#Headers],[Transport type]], 0)</f>
        <v>61</v>
      </c>
      <c r="L12" s="182" cm="1">
        <f t="array" ref="L12">Common_InputFunctions.Utility_DisplayArrayInTable(Fuel_SourceData.Fuel_Scope1Scope3EmissionFactorsTransport_Data(), Table_Fuel_EFs_Transport[[#Headers],[Transport type]], 0)</f>
        <v>20.2</v>
      </c>
    </row>
    <row r="13" spans="1:35" ht="20.100000000000001" customHeight="1" x14ac:dyDescent="0.2">
      <c r="A13" s="5" t="str">
        <f>HYPERLINK("#'Input - Poultry purchases'!A1", "Poultry purchases")</f>
        <v>Poultry purchases</v>
      </c>
      <c r="D13" s="182" t="str" cm="1">
        <f t="array" ref="D13">Common_InputFunctions.Utility_DisplayArrayInTable(Fuel_SourceData.Fuel_Scope1Scope3EmissionFactorsTransport_Data(), Table_Fuel_EFs_Transport[[#Headers],[Transport type]], 0)</f>
        <v>Cars and light commercial vehicles</v>
      </c>
      <c r="E13" s="182" t="str" cm="1">
        <f t="array" ref="E13">Common_InputFunctions.Utility_DisplayArrayInTable(Fuel_SourceData.Fuel_Scope1Scope3EmissionFactorsTransport_Data(), Table_Fuel_EFs_Transport[[#Headers],[Transport type]], 0)</f>
        <v>Fuel oil</v>
      </c>
      <c r="F13" s="182" cm="1">
        <f t="array" ref="F13">Common_InputFunctions.Utility_DisplayArrayInTable(Fuel_SourceData.Fuel_Scope1Scope3EmissionFactorsTransport_Data(), Table_Fuel_EFs_Transport[[#Headers],[Transport type]], 0)</f>
        <v>39.700000000000003</v>
      </c>
      <c r="G13" s="182" t="str" cm="1">
        <f t="array" ref="G13">Common_InputFunctions.Utility_DisplayArrayInTable(Fuel_SourceData.Fuel_Scope1Scope3EmissionFactorsTransport_Data(), Table_Fuel_EFs_Transport[[#Headers],[Transport type]], 0)</f>
        <v>kl</v>
      </c>
      <c r="H13" s="182" cm="1">
        <f t="array" ref="H13">Common_InputFunctions.Utility_DisplayArrayInTable(Fuel_SourceData.Fuel_Scope1Scope3EmissionFactorsTransport_Data(), Table_Fuel_EFs_Transport[[#Headers],[Transport type]], 0)</f>
        <v>73.599999999999994</v>
      </c>
      <c r="I13" s="182" cm="1">
        <f t="array" ref="I13">Common_InputFunctions.Utility_DisplayArrayInTable(Fuel_SourceData.Fuel_Scope1Scope3EmissionFactorsTransport_Data(), Table_Fuel_EFs_Transport[[#Headers],[Transport type]], 0)</f>
        <v>0.08</v>
      </c>
      <c r="J13" s="182" cm="1">
        <f t="array" ref="J13">Common_InputFunctions.Utility_DisplayArrayInTable(Fuel_SourceData.Fuel_Scope1Scope3EmissionFactorsTransport_Data(), Table_Fuel_EFs_Transport[[#Headers],[Transport type]], 0)</f>
        <v>0.5</v>
      </c>
      <c r="K13" s="182" cm="1">
        <f t="array" ref="K13">Common_InputFunctions.Utility_DisplayArrayInTable(Fuel_SourceData.Fuel_Scope1Scope3EmissionFactorsTransport_Data(), Table_Fuel_EFs_Transport[[#Headers],[Transport type]], 0)</f>
        <v>74.180000000000007</v>
      </c>
      <c r="L13" s="182" cm="1">
        <f t="array" ref="L13">Common_InputFunctions.Utility_DisplayArrayInTable(Fuel_SourceData.Fuel_Scope1Scope3EmissionFactorsTransport_Data(), Table_Fuel_EFs_Transport[[#Headers],[Transport type]], 0)</f>
        <v>18</v>
      </c>
    </row>
    <row r="14" spans="1:35" ht="20.100000000000001" customHeight="1" x14ac:dyDescent="0.2">
      <c r="A14" s="5" t="str">
        <f>HYPERLINK("#'Input - Fuel'!A1", "Fuel")</f>
        <v>Fuel</v>
      </c>
      <c r="D14" s="182" t="str" cm="1">
        <f t="array" ref="D14">Common_InputFunctions.Utility_DisplayArrayInTable(Fuel_SourceData.Fuel_Scope1Scope3EmissionFactorsTransport_Data(), Table_Fuel_EFs_Transport[[#Headers],[Transport type]], 0)</f>
        <v>Cars and light commercial vehicles</v>
      </c>
      <c r="E14" s="182" t="str" cm="1">
        <f t="array" ref="E14">Common_InputFunctions.Utility_DisplayArrayInTable(Fuel_SourceData.Fuel_Scope1Scope3EmissionFactorsTransport_Data(), Table_Fuel_EFs_Transport[[#Headers],[Transport type]], 0)</f>
        <v>Ethanol</v>
      </c>
      <c r="F14" s="182" cm="1">
        <f t="array" ref="F14">Common_InputFunctions.Utility_DisplayArrayInTable(Fuel_SourceData.Fuel_Scope1Scope3EmissionFactorsTransport_Data(), Table_Fuel_EFs_Transport[[#Headers],[Transport type]], 0)</f>
        <v>23.4</v>
      </c>
      <c r="G14" s="182" t="str" cm="1">
        <f t="array" ref="G14">Common_InputFunctions.Utility_DisplayArrayInTable(Fuel_SourceData.Fuel_Scope1Scope3EmissionFactorsTransport_Data(), Table_Fuel_EFs_Transport[[#Headers],[Transport type]], 0)</f>
        <v>kl</v>
      </c>
      <c r="H14" s="182" cm="1">
        <f t="array" ref="H14">Common_InputFunctions.Utility_DisplayArrayInTable(Fuel_SourceData.Fuel_Scope1Scope3EmissionFactorsTransport_Data(), Table_Fuel_EFs_Transport[[#Headers],[Transport type]], 0)</f>
        <v>0</v>
      </c>
      <c r="I14" s="182" cm="1">
        <f t="array" ref="I14">Common_InputFunctions.Utility_DisplayArrayInTable(Fuel_SourceData.Fuel_Scope1Scope3EmissionFactorsTransport_Data(), Table_Fuel_EFs_Transport[[#Headers],[Transport type]], 0)</f>
        <v>0.2</v>
      </c>
      <c r="J14" s="182" cm="1">
        <f t="array" ref="J14">Common_InputFunctions.Utility_DisplayArrayInTable(Fuel_SourceData.Fuel_Scope1Scope3EmissionFactorsTransport_Data(), Table_Fuel_EFs_Transport[[#Headers],[Transport type]], 0)</f>
        <v>0.2</v>
      </c>
      <c r="K14" s="182" cm="1">
        <f t="array" ref="K14">Common_InputFunctions.Utility_DisplayArrayInTable(Fuel_SourceData.Fuel_Scope1Scope3EmissionFactorsTransport_Data(), Table_Fuel_EFs_Transport[[#Headers],[Transport type]], 0)</f>
        <v>0.4</v>
      </c>
      <c r="L14" s="182" t="str" cm="1">
        <f t="array" ref="L14">Common_InputFunctions.Utility_DisplayArrayInTable(Fuel_SourceData.Fuel_Scope1Scope3EmissionFactorsTransport_Data(), Table_Fuel_EFs_Transport[[#Headers],[Transport type]], 0)</f>
        <v>NE</v>
      </c>
    </row>
    <row r="15" spans="1:35" ht="20.100000000000001" customHeight="1" x14ac:dyDescent="0.2">
      <c r="A15" s="5" t="str">
        <f>HYPERLINK("#'Input - Electricity'!A1", "Electricity")</f>
        <v>Electricity</v>
      </c>
      <c r="D15" s="182" t="str" cm="1">
        <f t="array" ref="D15">Common_InputFunctions.Utility_DisplayArrayInTable(Fuel_SourceData.Fuel_Scope1Scope3EmissionFactorsTransport_Data(), Table_Fuel_EFs_Transport[[#Headers],[Transport type]], 0)</f>
        <v>Cars and light commercial vehicles</v>
      </c>
      <c r="E15" s="182" t="str" cm="1">
        <f t="array" ref="E15">Common_InputFunctions.Utility_DisplayArrayInTable(Fuel_SourceData.Fuel_Scope1Scope3EmissionFactorsTransport_Data(), Table_Fuel_EFs_Transport[[#Headers],[Transport type]], 0)</f>
        <v>Biodiesel</v>
      </c>
      <c r="F15" s="182" cm="1">
        <f t="array" ref="F15">Common_InputFunctions.Utility_DisplayArrayInTable(Fuel_SourceData.Fuel_Scope1Scope3EmissionFactorsTransport_Data(), Table_Fuel_EFs_Transport[[#Headers],[Transport type]], 0)</f>
        <v>34.6</v>
      </c>
      <c r="G15" s="182" t="str" cm="1">
        <f t="array" ref="G15">Common_InputFunctions.Utility_DisplayArrayInTable(Fuel_SourceData.Fuel_Scope1Scope3EmissionFactorsTransport_Data(), Table_Fuel_EFs_Transport[[#Headers],[Transport type]], 0)</f>
        <v>kl</v>
      </c>
      <c r="H15" s="182" cm="1">
        <f t="array" ref="H15">Common_InputFunctions.Utility_DisplayArrayInTable(Fuel_SourceData.Fuel_Scope1Scope3EmissionFactorsTransport_Data(), Table_Fuel_EFs_Transport[[#Headers],[Transport type]], 0)</f>
        <v>0</v>
      </c>
      <c r="I15" s="182" cm="1">
        <f t="array" ref="I15">Common_InputFunctions.Utility_DisplayArrayInTable(Fuel_SourceData.Fuel_Scope1Scope3EmissionFactorsTransport_Data(), Table_Fuel_EFs_Transport[[#Headers],[Transport type]], 0)</f>
        <v>0.8</v>
      </c>
      <c r="J15" s="182" cm="1">
        <f t="array" ref="J15">Common_InputFunctions.Utility_DisplayArrayInTable(Fuel_SourceData.Fuel_Scope1Scope3EmissionFactorsTransport_Data(), Table_Fuel_EFs_Transport[[#Headers],[Transport type]], 0)</f>
        <v>1.7</v>
      </c>
      <c r="K15" s="182" cm="1">
        <f t="array" ref="K15">Common_InputFunctions.Utility_DisplayArrayInTable(Fuel_SourceData.Fuel_Scope1Scope3EmissionFactorsTransport_Data(), Table_Fuel_EFs_Transport[[#Headers],[Transport type]], 0)</f>
        <v>2.5</v>
      </c>
      <c r="L15" s="182" t="str" cm="1">
        <f t="array" ref="L15">Common_InputFunctions.Utility_DisplayArrayInTable(Fuel_SourceData.Fuel_Scope1Scope3EmissionFactorsTransport_Data(), Table_Fuel_EFs_Transport[[#Headers],[Transport type]], 0)</f>
        <v>NE</v>
      </c>
    </row>
    <row r="16" spans="1:35" ht="20.100000000000001" customHeight="1" x14ac:dyDescent="0.2">
      <c r="A16" s="5" t="str">
        <f>HYPERLINK("#'Input - Common farm inputs'!A1", "Common farm inputs")</f>
        <v>Common farm inputs</v>
      </c>
      <c r="D16" s="182" t="str" cm="1">
        <f t="array" ref="D16">Common_InputFunctions.Utility_DisplayArrayInTable(Fuel_SourceData.Fuel_Scope1Scope3EmissionFactorsTransport_Data(), Table_Fuel_EFs_Transport[[#Headers],[Transport type]], 0)</f>
        <v>Cars and light commercial vehicles</v>
      </c>
      <c r="E16" s="182" t="str" cm="1">
        <f t="array" ref="E16">Common_InputFunctions.Utility_DisplayArrayInTable(Fuel_SourceData.Fuel_Scope1Scope3EmissionFactorsTransport_Data(), Table_Fuel_EFs_Transport[[#Headers],[Transport type]], 0)</f>
        <v>Renewable diesel</v>
      </c>
      <c r="F16" s="182" cm="1">
        <f t="array" ref="F16">Common_InputFunctions.Utility_DisplayArrayInTable(Fuel_SourceData.Fuel_Scope1Scope3EmissionFactorsTransport_Data(), Table_Fuel_EFs_Transport[[#Headers],[Transport type]], 0)</f>
        <v>38.6</v>
      </c>
      <c r="G16" s="182" t="str" cm="1">
        <f t="array" ref="G16">Common_InputFunctions.Utility_DisplayArrayInTable(Fuel_SourceData.Fuel_Scope1Scope3EmissionFactorsTransport_Data(), Table_Fuel_EFs_Transport[[#Headers],[Transport type]], 0)</f>
        <v>kl</v>
      </c>
      <c r="H16" s="182" cm="1">
        <f t="array" ref="H16">Common_InputFunctions.Utility_DisplayArrayInTable(Fuel_SourceData.Fuel_Scope1Scope3EmissionFactorsTransport_Data(), Table_Fuel_EFs_Transport[[#Headers],[Transport type]], 0)</f>
        <v>0</v>
      </c>
      <c r="I16" s="182" cm="1">
        <f t="array" ref="I16">Common_InputFunctions.Utility_DisplayArrayInTable(Fuel_SourceData.Fuel_Scope1Scope3EmissionFactorsTransport_Data(), Table_Fuel_EFs_Transport[[#Headers],[Transport type]], 0)</f>
        <v>0.01</v>
      </c>
      <c r="J16" s="182" cm="1">
        <f t="array" ref="J16">Common_InputFunctions.Utility_DisplayArrayInTable(Fuel_SourceData.Fuel_Scope1Scope3EmissionFactorsTransport_Data(), Table_Fuel_EFs_Transport[[#Headers],[Transport type]], 0)</f>
        <v>0.5</v>
      </c>
      <c r="K16" s="182" cm="1">
        <f t="array" ref="K16">Common_InputFunctions.Utility_DisplayArrayInTable(Fuel_SourceData.Fuel_Scope1Scope3EmissionFactorsTransport_Data(), Table_Fuel_EFs_Transport[[#Headers],[Transport type]], 0)</f>
        <v>0.51</v>
      </c>
      <c r="L16" s="182" t="str" cm="1">
        <f t="array" ref="L16">Common_InputFunctions.Utility_DisplayArrayInTable(Fuel_SourceData.Fuel_Scope1Scope3EmissionFactorsTransport_Data(), Table_Fuel_EFs_Transport[[#Headers],[Transport type]], 0)</f>
        <v>NE</v>
      </c>
    </row>
    <row r="17" spans="1:12" ht="20.100000000000001" customHeight="1" x14ac:dyDescent="0.2">
      <c r="A17" s="5" t="str">
        <f>HYPERLINK("#'Input - Livestock farm Inputs'!A1", "Livestock farm Inputs")</f>
        <v>Livestock farm Inputs</v>
      </c>
      <c r="D17" s="182" t="str" cm="1">
        <f t="array" ref="D17">Common_InputFunctions.Utility_DisplayArrayInTable(Fuel_SourceData.Fuel_Scope1Scope3EmissionFactorsTransport_Data(), Table_Fuel_EFs_Transport[[#Headers],[Transport type]], 0)</f>
        <v>Cars and light commercial vehicles</v>
      </c>
      <c r="E17" s="182" t="str" cm="1">
        <f t="array" ref="E17">Common_InputFunctions.Utility_DisplayArrayInTable(Fuel_SourceData.Fuel_Scope1Scope3EmissionFactorsTransport_Data(), Table_Fuel_EFs_Transport[[#Headers],[Transport type]], 0)</f>
        <v>Other biofuels</v>
      </c>
      <c r="F17" s="182" cm="1">
        <f t="array" ref="F17">Common_InputFunctions.Utility_DisplayArrayInTable(Fuel_SourceData.Fuel_Scope1Scope3EmissionFactorsTransport_Data(), Table_Fuel_EFs_Transport[[#Headers],[Transport type]], 0)</f>
        <v>23.4</v>
      </c>
      <c r="G17" s="182" t="str" cm="1">
        <f t="array" ref="G17">Common_InputFunctions.Utility_DisplayArrayInTable(Fuel_SourceData.Fuel_Scope1Scope3EmissionFactorsTransport_Data(), Table_Fuel_EFs_Transport[[#Headers],[Transport type]], 0)</f>
        <v>kl</v>
      </c>
      <c r="H17" s="182" cm="1">
        <f t="array" ref="H17">Common_InputFunctions.Utility_DisplayArrayInTable(Fuel_SourceData.Fuel_Scope1Scope3EmissionFactorsTransport_Data(), Table_Fuel_EFs_Transport[[#Headers],[Transport type]], 0)</f>
        <v>0</v>
      </c>
      <c r="I17" s="182" cm="1">
        <f t="array" ref="I17">Common_InputFunctions.Utility_DisplayArrayInTable(Fuel_SourceData.Fuel_Scope1Scope3EmissionFactorsTransport_Data(), Table_Fuel_EFs_Transport[[#Headers],[Transport type]], 0)</f>
        <v>0.8</v>
      </c>
      <c r="J17" s="182" cm="1">
        <f t="array" ref="J17">Common_InputFunctions.Utility_DisplayArrayInTable(Fuel_SourceData.Fuel_Scope1Scope3EmissionFactorsTransport_Data(), Table_Fuel_EFs_Transport[[#Headers],[Transport type]], 0)</f>
        <v>1.7</v>
      </c>
      <c r="K17" s="182" cm="1">
        <f t="array" ref="K17">Common_InputFunctions.Utility_DisplayArrayInTable(Fuel_SourceData.Fuel_Scope1Scope3EmissionFactorsTransport_Data(), Table_Fuel_EFs_Transport[[#Headers],[Transport type]], 0)</f>
        <v>2.5</v>
      </c>
      <c r="L17" s="182" t="str" cm="1">
        <f t="array" ref="L17">Common_InputFunctions.Utility_DisplayArrayInTable(Fuel_SourceData.Fuel_Scope1Scope3EmissionFactorsTransport_Data(), Table_Fuel_EFs_Transport[[#Headers],[Transport type]], 0)</f>
        <v>NE</v>
      </c>
    </row>
    <row r="18" spans="1:12" ht="20.100000000000001" customHeight="1" x14ac:dyDescent="0.2">
      <c r="A18" s="5" t="str">
        <f>HYPERLINK("#'Input - Freight'!A1", "Freight")</f>
        <v>Freight</v>
      </c>
      <c r="D18" s="182" t="str" cm="1">
        <f t="array" ref="D18">Common_InputFunctions.Utility_DisplayArrayInTable(Fuel_SourceData.Fuel_Scope1Scope3EmissionFactorsTransport_Data(), Table_Fuel_EFs_Transport[[#Headers],[Transport type]], 0)</f>
        <v>Light duty vehicles</v>
      </c>
      <c r="E18" s="182" t="str" cm="1">
        <f t="array" ref="E18">Common_InputFunctions.Utility_DisplayArrayInTable(Fuel_SourceData.Fuel_Scope1Scope3EmissionFactorsTransport_Data(), Table_Fuel_EFs_Transport[[#Headers],[Transport type]], 0)</f>
        <v>Compressed natural gas</v>
      </c>
      <c r="F18" s="182" cm="1">
        <f t="array" ref="F18">Common_InputFunctions.Utility_DisplayArrayInTable(Fuel_SourceData.Fuel_Scope1Scope3EmissionFactorsTransport_Data(), Table_Fuel_EFs_Transport[[#Headers],[Transport type]], 0)</f>
        <v>3.9300000000000002E-2</v>
      </c>
      <c r="G18" s="182" t="str" cm="1">
        <f t="array" ref="G18">Common_InputFunctions.Utility_DisplayArrayInTable(Fuel_SourceData.Fuel_Scope1Scope3EmissionFactorsTransport_Data(), Table_Fuel_EFs_Transport[[#Headers],[Transport type]], 0)</f>
        <v>m3</v>
      </c>
      <c r="H18" s="182" cm="1">
        <f t="array" ref="H18">Common_InputFunctions.Utility_DisplayArrayInTable(Fuel_SourceData.Fuel_Scope1Scope3EmissionFactorsTransport_Data(), Table_Fuel_EFs_Transport[[#Headers],[Transport type]], 0)</f>
        <v>51.4</v>
      </c>
      <c r="I18" s="182" cm="1">
        <f t="array" ref="I18">Common_InputFunctions.Utility_DisplayArrayInTable(Fuel_SourceData.Fuel_Scope1Scope3EmissionFactorsTransport_Data(), Table_Fuel_EFs_Transport[[#Headers],[Transport type]], 0)</f>
        <v>7.3</v>
      </c>
      <c r="J18" s="182" cm="1">
        <f t="array" ref="J18">Common_InputFunctions.Utility_DisplayArrayInTable(Fuel_SourceData.Fuel_Scope1Scope3EmissionFactorsTransport_Data(), Table_Fuel_EFs_Transport[[#Headers],[Transport type]], 0)</f>
        <v>0.3</v>
      </c>
      <c r="K18" s="182" cm="1">
        <f t="array" ref="K18">Common_InputFunctions.Utility_DisplayArrayInTable(Fuel_SourceData.Fuel_Scope1Scope3EmissionFactorsTransport_Data(), Table_Fuel_EFs_Transport[[#Headers],[Transport type]], 0)</f>
        <v>59</v>
      </c>
      <c r="L18" s="182" cm="1">
        <f t="array" ref="L18">Common_InputFunctions.Utility_DisplayArrayInTable(Fuel_SourceData.Fuel_Scope1Scope3EmissionFactorsTransport_Data(), Table_Fuel_EFs_Transport[[#Headers],[Transport type]], 0)</f>
        <v>18</v>
      </c>
    </row>
    <row r="19" spans="1:12" ht="20.100000000000001" customHeight="1" x14ac:dyDescent="0.2">
      <c r="A19" s="5" t="str">
        <f>HYPERLINK("#'Input - Solid waste'!A1", "Solid waste")</f>
        <v>Solid waste</v>
      </c>
      <c r="D19" s="182" t="str" cm="1">
        <f t="array" ref="D19">Common_InputFunctions.Utility_DisplayArrayInTable(Fuel_SourceData.Fuel_Scope1Scope3EmissionFactorsTransport_Data(), Table_Fuel_EFs_Transport[[#Headers],[Transport type]], 0)</f>
        <v>Light duty vehicles</v>
      </c>
      <c r="E19" s="182" t="str" cm="1">
        <f t="array" ref="E19">Common_InputFunctions.Utility_DisplayArrayInTable(Fuel_SourceData.Fuel_Scope1Scope3EmissionFactorsTransport_Data(), Table_Fuel_EFs_Transport[[#Headers],[Transport type]], 0)</f>
        <v>Liquefied natural gas</v>
      </c>
      <c r="F19" s="182" cm="1">
        <f t="array" ref="F19">Common_InputFunctions.Utility_DisplayArrayInTable(Fuel_SourceData.Fuel_Scope1Scope3EmissionFactorsTransport_Data(), Table_Fuel_EFs_Transport[[#Headers],[Transport type]], 0)</f>
        <v>25.3</v>
      </c>
      <c r="G19" s="182" t="str" cm="1">
        <f t="array" ref="G19">Common_InputFunctions.Utility_DisplayArrayInTable(Fuel_SourceData.Fuel_Scope1Scope3EmissionFactorsTransport_Data(), Table_Fuel_EFs_Transport[[#Headers],[Transport type]], 0)</f>
        <v>kl</v>
      </c>
      <c r="H19" s="182" cm="1">
        <f t="array" ref="H19">Common_InputFunctions.Utility_DisplayArrayInTable(Fuel_SourceData.Fuel_Scope1Scope3EmissionFactorsTransport_Data(), Table_Fuel_EFs_Transport[[#Headers],[Transport type]], 0)</f>
        <v>51.4</v>
      </c>
      <c r="I19" s="182" cm="1">
        <f t="array" ref="I19">Common_InputFunctions.Utility_DisplayArrayInTable(Fuel_SourceData.Fuel_Scope1Scope3EmissionFactorsTransport_Data(), Table_Fuel_EFs_Transport[[#Headers],[Transport type]], 0)</f>
        <v>7.3</v>
      </c>
      <c r="J19" s="182" cm="1">
        <f t="array" ref="J19">Common_InputFunctions.Utility_DisplayArrayInTable(Fuel_SourceData.Fuel_Scope1Scope3EmissionFactorsTransport_Data(), Table_Fuel_EFs_Transport[[#Headers],[Transport type]], 0)</f>
        <v>0.3</v>
      </c>
      <c r="K19" s="182" cm="1">
        <f t="array" ref="K19">Common_InputFunctions.Utility_DisplayArrayInTable(Fuel_SourceData.Fuel_Scope1Scope3EmissionFactorsTransport_Data(), Table_Fuel_EFs_Transport[[#Headers],[Transport type]], 0)</f>
        <v>59</v>
      </c>
      <c r="L19" s="182" cm="1">
        <f t="array" ref="L19">Common_InputFunctions.Utility_DisplayArrayInTable(Fuel_SourceData.Fuel_Scope1Scope3EmissionFactorsTransport_Data(), Table_Fuel_EFs_Transport[[#Headers],[Transport type]], 0)</f>
        <v>18</v>
      </c>
    </row>
    <row r="20" spans="1:12" ht="20.100000000000001" customHeight="1" x14ac:dyDescent="0.2">
      <c r="A20" s="5" t="str">
        <f>HYPERLINK("#'Input - Manure sent off-site'!A1", "Manure sent off-site")</f>
        <v>Manure sent off-site</v>
      </c>
      <c r="D20" s="182" t="str" cm="1">
        <f t="array" ref="D20">Common_InputFunctions.Utility_DisplayArrayInTable(Fuel_SourceData.Fuel_Scope1Scope3EmissionFactorsTransport_Data(), Table_Fuel_EFs_Transport[[#Headers],[Transport type]], 0)</f>
        <v>Heavy duty vehicles</v>
      </c>
      <c r="E20" s="182" t="str" cm="1">
        <f t="array" ref="E20">Common_InputFunctions.Utility_DisplayArrayInTable(Fuel_SourceData.Fuel_Scope1Scope3EmissionFactorsTransport_Data(), Table_Fuel_EFs_Transport[[#Headers],[Transport type]], 0)</f>
        <v>Compressed natural gas</v>
      </c>
      <c r="F20" s="182" cm="1">
        <f t="array" ref="F20">Common_InputFunctions.Utility_DisplayArrayInTable(Fuel_SourceData.Fuel_Scope1Scope3EmissionFactorsTransport_Data(), Table_Fuel_EFs_Transport[[#Headers],[Transport type]], 0)</f>
        <v>3.9300000000000002E-2</v>
      </c>
      <c r="G20" s="182" t="str" cm="1">
        <f t="array" ref="G20">Common_InputFunctions.Utility_DisplayArrayInTable(Fuel_SourceData.Fuel_Scope1Scope3EmissionFactorsTransport_Data(), Table_Fuel_EFs_Transport[[#Headers],[Transport type]], 0)</f>
        <v>m3</v>
      </c>
      <c r="H20" s="182" cm="1">
        <f t="array" ref="H20">Common_InputFunctions.Utility_DisplayArrayInTable(Fuel_SourceData.Fuel_Scope1Scope3EmissionFactorsTransport_Data(), Table_Fuel_EFs_Transport[[#Headers],[Transport type]], 0)</f>
        <v>51.4</v>
      </c>
      <c r="I20" s="182" cm="1">
        <f t="array" ref="I20">Common_InputFunctions.Utility_DisplayArrayInTable(Fuel_SourceData.Fuel_Scope1Scope3EmissionFactorsTransport_Data(), Table_Fuel_EFs_Transport[[#Headers],[Transport type]], 0)</f>
        <v>2.8</v>
      </c>
      <c r="J20" s="182" cm="1">
        <f t="array" ref="J20">Common_InputFunctions.Utility_DisplayArrayInTable(Fuel_SourceData.Fuel_Scope1Scope3EmissionFactorsTransport_Data(), Table_Fuel_EFs_Transport[[#Headers],[Transport type]], 0)</f>
        <v>0.3</v>
      </c>
      <c r="K20" s="182" cm="1">
        <f t="array" ref="K20">Common_InputFunctions.Utility_DisplayArrayInTable(Fuel_SourceData.Fuel_Scope1Scope3EmissionFactorsTransport_Data(), Table_Fuel_EFs_Transport[[#Headers],[Transport type]], 0)</f>
        <v>54.5</v>
      </c>
      <c r="L20" s="182" cm="1">
        <f t="array" ref="L20">Common_InputFunctions.Utility_DisplayArrayInTable(Fuel_SourceData.Fuel_Scope1Scope3EmissionFactorsTransport_Data(), Table_Fuel_EFs_Transport[[#Headers],[Transport type]], 0)</f>
        <v>18</v>
      </c>
    </row>
    <row r="21" spans="1:12" ht="20.100000000000001" customHeight="1" x14ac:dyDescent="0.2">
      <c r="A21" s="5" t="str">
        <f>HYPERLINK("#'Input - Data quality'!A1", "Data quality")</f>
        <v>Data quality</v>
      </c>
      <c r="D21" s="182" t="str" cm="1">
        <f t="array" ref="D21">Common_InputFunctions.Utility_DisplayArrayInTable(Fuel_SourceData.Fuel_Scope1Scope3EmissionFactorsTransport_Data(), Table_Fuel_EFs_Transport[[#Headers],[Transport type]], 0)</f>
        <v>Heavy duty vehicles</v>
      </c>
      <c r="E21" s="182" t="str" cm="1">
        <f t="array" ref="E21">Common_InputFunctions.Utility_DisplayArrayInTable(Fuel_SourceData.Fuel_Scope1Scope3EmissionFactorsTransport_Data(), Table_Fuel_EFs_Transport[[#Headers],[Transport type]], 0)</f>
        <v>Liquefied natural gas</v>
      </c>
      <c r="F21" s="182" cm="1">
        <f t="array" ref="F21">Common_InputFunctions.Utility_DisplayArrayInTable(Fuel_SourceData.Fuel_Scope1Scope3EmissionFactorsTransport_Data(), Table_Fuel_EFs_Transport[[#Headers],[Transport type]], 0)</f>
        <v>25.3</v>
      </c>
      <c r="G21" s="182" t="str" cm="1">
        <f t="array" ref="G21">Common_InputFunctions.Utility_DisplayArrayInTable(Fuel_SourceData.Fuel_Scope1Scope3EmissionFactorsTransport_Data(), Table_Fuel_EFs_Transport[[#Headers],[Transport type]], 0)</f>
        <v>kl</v>
      </c>
      <c r="H21" s="182" cm="1">
        <f t="array" ref="H21">Common_InputFunctions.Utility_DisplayArrayInTable(Fuel_SourceData.Fuel_Scope1Scope3EmissionFactorsTransport_Data(), Table_Fuel_EFs_Transport[[#Headers],[Transport type]], 0)</f>
        <v>51.4</v>
      </c>
      <c r="I21" s="182" cm="1">
        <f t="array" ref="I21">Common_InputFunctions.Utility_DisplayArrayInTable(Fuel_SourceData.Fuel_Scope1Scope3EmissionFactorsTransport_Data(), Table_Fuel_EFs_Transport[[#Headers],[Transport type]], 0)</f>
        <v>2.8</v>
      </c>
      <c r="J21" s="182" cm="1">
        <f t="array" ref="J21">Common_InputFunctions.Utility_DisplayArrayInTable(Fuel_SourceData.Fuel_Scope1Scope3EmissionFactorsTransport_Data(), Table_Fuel_EFs_Transport[[#Headers],[Transport type]], 0)</f>
        <v>0.3</v>
      </c>
      <c r="K21" s="182" cm="1">
        <f t="array" ref="K21">Common_InputFunctions.Utility_DisplayArrayInTable(Fuel_SourceData.Fuel_Scope1Scope3EmissionFactorsTransport_Data(), Table_Fuel_EFs_Transport[[#Headers],[Transport type]], 0)</f>
        <v>54.5</v>
      </c>
      <c r="L21" s="182" cm="1">
        <f t="array" ref="L21">Common_InputFunctions.Utility_DisplayArrayInTable(Fuel_SourceData.Fuel_Scope1Scope3EmissionFactorsTransport_Data(), Table_Fuel_EFs_Transport[[#Headers],[Transport type]], 0)</f>
        <v>18</v>
      </c>
    </row>
    <row r="22" spans="1:12" ht="20.100000000000001" customHeight="1" x14ac:dyDescent="0.2">
      <c r="A22" s="5" t="str">
        <f>HYPERLINK("#'Input - Fert Prod System'!A1", "Fert Prod System")</f>
        <v>Fert Prod System</v>
      </c>
      <c r="D22" s="182" t="str" cm="1">
        <f t="array" ref="D22">Common_InputFunctions.Utility_DisplayArrayInTable(Fuel_SourceData.Fuel_Scope1Scope3EmissionFactorsTransport_Data(), Table_Fuel_EFs_Transport[[#Headers],[Transport type]], 0)</f>
        <v>Heavy duty vehicles</v>
      </c>
      <c r="E22" s="182" t="str" cm="1">
        <f t="array" ref="E22">Common_InputFunctions.Utility_DisplayArrayInTable(Fuel_SourceData.Fuel_Scope1Scope3EmissionFactorsTransport_Data(), Table_Fuel_EFs_Transport[[#Headers],[Transport type]], 0)</f>
        <v>Diesel oil - Euro iv or higher</v>
      </c>
      <c r="F22" s="182" cm="1">
        <f t="array" ref="F22">Common_InputFunctions.Utility_DisplayArrayInTable(Fuel_SourceData.Fuel_Scope1Scope3EmissionFactorsTransport_Data(), Table_Fuel_EFs_Transport[[#Headers],[Transport type]], 0)</f>
        <v>38.6</v>
      </c>
      <c r="G22" s="182" t="str" cm="1">
        <f t="array" ref="G22">Common_InputFunctions.Utility_DisplayArrayInTable(Fuel_SourceData.Fuel_Scope1Scope3EmissionFactorsTransport_Data(), Table_Fuel_EFs_Transport[[#Headers],[Transport type]], 0)</f>
        <v>kl</v>
      </c>
      <c r="H22" s="182" cm="1">
        <f t="array" ref="H22">Common_InputFunctions.Utility_DisplayArrayInTable(Fuel_SourceData.Fuel_Scope1Scope3EmissionFactorsTransport_Data(), Table_Fuel_EFs_Transport[[#Headers],[Transport type]], 0)</f>
        <v>69.900000000000006</v>
      </c>
      <c r="I22" s="182" cm="1">
        <f t="array" ref="I22">Common_InputFunctions.Utility_DisplayArrayInTable(Fuel_SourceData.Fuel_Scope1Scope3EmissionFactorsTransport_Data(), Table_Fuel_EFs_Transport[[#Headers],[Transport type]], 0)</f>
        <v>7.0000000000000007E-2</v>
      </c>
      <c r="J22" s="182" cm="1">
        <f t="array" ref="J22">Common_InputFunctions.Utility_DisplayArrayInTable(Fuel_SourceData.Fuel_Scope1Scope3EmissionFactorsTransport_Data(), Table_Fuel_EFs_Transport[[#Headers],[Transport type]], 0)</f>
        <v>0.4</v>
      </c>
      <c r="K22" s="182" cm="1">
        <f t="array" ref="K22">Common_InputFunctions.Utility_DisplayArrayInTable(Fuel_SourceData.Fuel_Scope1Scope3EmissionFactorsTransport_Data(), Table_Fuel_EFs_Transport[[#Headers],[Transport type]], 0)</f>
        <v>70.37</v>
      </c>
      <c r="L22" s="182" cm="1">
        <f t="array" ref="L22">Common_InputFunctions.Utility_DisplayArrayInTable(Fuel_SourceData.Fuel_Scope1Scope3EmissionFactorsTransport_Data(), Table_Fuel_EFs_Transport[[#Headers],[Transport type]], 0)</f>
        <v>17.3</v>
      </c>
    </row>
    <row r="23" spans="1:12" ht="20.100000000000001" customHeight="1" x14ac:dyDescent="0.2">
      <c r="A23" s="5" t="str">
        <f>HYPERLINK("#'Input - Fertiliser'!A1", "Fertiliser")</f>
        <v>Fertiliser</v>
      </c>
      <c r="D23" s="182" t="str" cm="1">
        <f t="array" ref="D23">Common_InputFunctions.Utility_DisplayArrayInTable(Fuel_SourceData.Fuel_Scope1Scope3EmissionFactorsTransport_Data(), Table_Fuel_EFs_Transport[[#Headers],[Transport type]], 0)</f>
        <v>Heavy duty vehicles</v>
      </c>
      <c r="E23" s="182" t="str" cm="1">
        <f t="array" ref="E23">Common_InputFunctions.Utility_DisplayArrayInTable(Fuel_SourceData.Fuel_Scope1Scope3EmissionFactorsTransport_Data(), Table_Fuel_EFs_Transport[[#Headers],[Transport type]], 0)</f>
        <v>Diesel oil - Euro iii</v>
      </c>
      <c r="F23" s="182" cm="1">
        <f t="array" ref="F23">Common_InputFunctions.Utility_DisplayArrayInTable(Fuel_SourceData.Fuel_Scope1Scope3EmissionFactorsTransport_Data(), Table_Fuel_EFs_Transport[[#Headers],[Transport type]], 0)</f>
        <v>38.6</v>
      </c>
      <c r="G23" s="182" t="str" cm="1">
        <f t="array" ref="G23">Common_InputFunctions.Utility_DisplayArrayInTable(Fuel_SourceData.Fuel_Scope1Scope3EmissionFactorsTransport_Data(), Table_Fuel_EFs_Transport[[#Headers],[Transport type]], 0)</f>
        <v>kl</v>
      </c>
      <c r="H23" s="182" cm="1">
        <f t="array" ref="H23">Common_InputFunctions.Utility_DisplayArrayInTable(Fuel_SourceData.Fuel_Scope1Scope3EmissionFactorsTransport_Data(), Table_Fuel_EFs_Transport[[#Headers],[Transport type]], 0)</f>
        <v>69.900000000000006</v>
      </c>
      <c r="I23" s="182" cm="1">
        <f t="array" ref="I23">Common_InputFunctions.Utility_DisplayArrayInTable(Fuel_SourceData.Fuel_Scope1Scope3EmissionFactorsTransport_Data(), Table_Fuel_EFs_Transport[[#Headers],[Transport type]], 0)</f>
        <v>0.1</v>
      </c>
      <c r="J23" s="182" cm="1">
        <f t="array" ref="J23">Common_InputFunctions.Utility_DisplayArrayInTable(Fuel_SourceData.Fuel_Scope1Scope3EmissionFactorsTransport_Data(), Table_Fuel_EFs_Transport[[#Headers],[Transport type]], 0)</f>
        <v>0.4</v>
      </c>
      <c r="K23" s="182" cm="1">
        <f t="array" ref="K23">Common_InputFunctions.Utility_DisplayArrayInTable(Fuel_SourceData.Fuel_Scope1Scope3EmissionFactorsTransport_Data(), Table_Fuel_EFs_Transport[[#Headers],[Transport type]], 0)</f>
        <v>70.400000000000006</v>
      </c>
      <c r="L23" s="182" cm="1">
        <f t="array" ref="L23">Common_InputFunctions.Utility_DisplayArrayInTable(Fuel_SourceData.Fuel_Scope1Scope3EmissionFactorsTransport_Data(), Table_Fuel_EFs_Transport[[#Headers],[Transport type]], 0)</f>
        <v>17.3</v>
      </c>
    </row>
    <row r="24" spans="1:12" ht="20.100000000000001" customHeight="1" x14ac:dyDescent="0.2">
      <c r="D24" s="182" t="str" cm="1">
        <f t="array" ref="D24">Common_InputFunctions.Utility_DisplayArrayInTable(Fuel_SourceData.Fuel_Scope1Scope3EmissionFactorsTransport_Data(), Table_Fuel_EFs_Transport[[#Headers],[Transport type]], 0)</f>
        <v>Heavy duty vehicles</v>
      </c>
      <c r="E24" s="182" t="str" cm="1">
        <f t="array" ref="E24">Common_InputFunctions.Utility_DisplayArrayInTable(Fuel_SourceData.Fuel_Scope1Scope3EmissionFactorsTransport_Data(), Table_Fuel_EFs_Transport[[#Headers],[Transport type]], 0)</f>
        <v>Diesel oil - Euro i</v>
      </c>
      <c r="F24" s="182" cm="1">
        <f t="array" ref="F24">Common_InputFunctions.Utility_DisplayArrayInTable(Fuel_SourceData.Fuel_Scope1Scope3EmissionFactorsTransport_Data(), Table_Fuel_EFs_Transport[[#Headers],[Transport type]], 0)</f>
        <v>38.6</v>
      </c>
      <c r="G24" s="182" t="str" cm="1">
        <f t="array" ref="G24">Common_InputFunctions.Utility_DisplayArrayInTable(Fuel_SourceData.Fuel_Scope1Scope3EmissionFactorsTransport_Data(), Table_Fuel_EFs_Transport[[#Headers],[Transport type]], 0)</f>
        <v>kl</v>
      </c>
      <c r="H24" s="182" cm="1">
        <f t="array" ref="H24">Common_InputFunctions.Utility_DisplayArrayInTable(Fuel_SourceData.Fuel_Scope1Scope3EmissionFactorsTransport_Data(), Table_Fuel_EFs_Transport[[#Headers],[Transport type]], 0)</f>
        <v>69.900000000000006</v>
      </c>
      <c r="I24" s="182" cm="1">
        <f t="array" ref="I24">Common_InputFunctions.Utility_DisplayArrayInTable(Fuel_SourceData.Fuel_Scope1Scope3EmissionFactorsTransport_Data(), Table_Fuel_EFs_Transport[[#Headers],[Transport type]], 0)</f>
        <v>0.2</v>
      </c>
      <c r="J24" s="182" cm="1">
        <f t="array" ref="J24">Common_InputFunctions.Utility_DisplayArrayInTable(Fuel_SourceData.Fuel_Scope1Scope3EmissionFactorsTransport_Data(), Table_Fuel_EFs_Transport[[#Headers],[Transport type]], 0)</f>
        <v>0.4</v>
      </c>
      <c r="K24" s="182" cm="1">
        <f t="array" ref="K24">Common_InputFunctions.Utility_DisplayArrayInTable(Fuel_SourceData.Fuel_Scope1Scope3EmissionFactorsTransport_Data(), Table_Fuel_EFs_Transport[[#Headers],[Transport type]], 0)</f>
        <v>70.5</v>
      </c>
      <c r="L24" s="182" cm="1">
        <f t="array" ref="L24">Common_InputFunctions.Utility_DisplayArrayInTable(Fuel_SourceData.Fuel_Scope1Scope3EmissionFactorsTransport_Data(), Table_Fuel_EFs_Transport[[#Headers],[Transport type]], 0)</f>
        <v>17.3</v>
      </c>
    </row>
    <row r="25" spans="1:12" ht="20.100000000000001" customHeight="1" x14ac:dyDescent="0.2">
      <c r="D25" s="182" t="str" cm="1">
        <f t="array" ref="D25">Common_InputFunctions.Utility_DisplayArrayInTable(Fuel_SourceData.Fuel_Scope1Scope3EmissionFactorsTransport_Data(), Table_Fuel_EFs_Transport[[#Headers],[Transport type]], 0)</f>
        <v>Heavy duty vehicles</v>
      </c>
      <c r="E25" s="182" t="str" cm="1">
        <f t="array" ref="E25">Common_InputFunctions.Utility_DisplayArrayInTable(Fuel_SourceData.Fuel_Scope1Scope3EmissionFactorsTransport_Data(), Table_Fuel_EFs_Transport[[#Headers],[Transport type]], 0)</f>
        <v>Renewable diesel – Euro iv or higher</v>
      </c>
      <c r="F25" s="182" cm="1">
        <f t="array" ref="F25">Common_InputFunctions.Utility_DisplayArrayInTable(Fuel_SourceData.Fuel_Scope1Scope3EmissionFactorsTransport_Data(), Table_Fuel_EFs_Transport[[#Headers],[Transport type]], 0)</f>
        <v>38.6</v>
      </c>
      <c r="G25" s="182" t="str" cm="1">
        <f t="array" ref="G25">Common_InputFunctions.Utility_DisplayArrayInTable(Fuel_SourceData.Fuel_Scope1Scope3EmissionFactorsTransport_Data(), Table_Fuel_EFs_Transport[[#Headers],[Transport type]], 0)</f>
        <v>kl</v>
      </c>
      <c r="H25" s="182" cm="1">
        <f t="array" ref="H25">Common_InputFunctions.Utility_DisplayArrayInTable(Fuel_SourceData.Fuel_Scope1Scope3EmissionFactorsTransport_Data(), Table_Fuel_EFs_Transport[[#Headers],[Transport type]], 0)</f>
        <v>0</v>
      </c>
      <c r="I25" s="182" cm="1">
        <f t="array" ref="I25">Common_InputFunctions.Utility_DisplayArrayInTable(Fuel_SourceData.Fuel_Scope1Scope3EmissionFactorsTransport_Data(), Table_Fuel_EFs_Transport[[#Headers],[Transport type]], 0)</f>
        <v>7.0000000000000007E-2</v>
      </c>
      <c r="J25" s="182" cm="1">
        <f t="array" ref="J25">Common_InputFunctions.Utility_DisplayArrayInTable(Fuel_SourceData.Fuel_Scope1Scope3EmissionFactorsTransport_Data(), Table_Fuel_EFs_Transport[[#Headers],[Transport type]], 0)</f>
        <v>0.4</v>
      </c>
      <c r="K25" s="182" cm="1">
        <f t="array" ref="K25">Common_InputFunctions.Utility_DisplayArrayInTable(Fuel_SourceData.Fuel_Scope1Scope3EmissionFactorsTransport_Data(), Table_Fuel_EFs_Transport[[#Headers],[Transport type]], 0)</f>
        <v>0.47</v>
      </c>
      <c r="L25" s="182" t="str" cm="1">
        <f t="array" ref="L25">Common_InputFunctions.Utility_DisplayArrayInTable(Fuel_SourceData.Fuel_Scope1Scope3EmissionFactorsTransport_Data(), Table_Fuel_EFs_Transport[[#Headers],[Transport type]], 0)</f>
        <v>NE</v>
      </c>
    </row>
    <row r="26" spans="1:12" ht="20.100000000000001" customHeight="1" x14ac:dyDescent="0.2">
      <c r="A26" s="6" t="s">
        <v>2</v>
      </c>
      <c r="D26" s="182" t="str" cm="1">
        <f t="array" ref="D26">Common_InputFunctions.Utility_DisplayArrayInTable(Fuel_SourceData.Fuel_Scope1Scope3EmissionFactorsTransport_Data(), Table_Fuel_EFs_Transport[[#Headers],[Transport type]], 0)</f>
        <v>Heavy duty vehicles</v>
      </c>
      <c r="E26" s="182" t="str" cm="1">
        <f t="array" ref="E26">Common_InputFunctions.Utility_DisplayArrayInTable(Fuel_SourceData.Fuel_Scope1Scope3EmissionFactorsTransport_Data(), Table_Fuel_EFs_Transport[[#Headers],[Transport type]], 0)</f>
        <v>Renewable diesel – Euro iii</v>
      </c>
      <c r="F26" s="182" cm="1">
        <f t="array" ref="F26">Common_InputFunctions.Utility_DisplayArrayInTable(Fuel_SourceData.Fuel_Scope1Scope3EmissionFactorsTransport_Data(), Table_Fuel_EFs_Transport[[#Headers],[Transport type]], 0)</f>
        <v>38.6</v>
      </c>
      <c r="G26" s="182" t="str" cm="1">
        <f t="array" ref="G26">Common_InputFunctions.Utility_DisplayArrayInTable(Fuel_SourceData.Fuel_Scope1Scope3EmissionFactorsTransport_Data(), Table_Fuel_EFs_Transport[[#Headers],[Transport type]], 0)</f>
        <v>kl</v>
      </c>
      <c r="H26" s="182" cm="1">
        <f t="array" ref="H26">Common_InputFunctions.Utility_DisplayArrayInTable(Fuel_SourceData.Fuel_Scope1Scope3EmissionFactorsTransport_Data(), Table_Fuel_EFs_Transport[[#Headers],[Transport type]], 0)</f>
        <v>0</v>
      </c>
      <c r="I26" s="182" cm="1">
        <f t="array" ref="I26">Common_InputFunctions.Utility_DisplayArrayInTable(Fuel_SourceData.Fuel_Scope1Scope3EmissionFactorsTransport_Data(), Table_Fuel_EFs_Transport[[#Headers],[Transport type]], 0)</f>
        <v>0.1</v>
      </c>
      <c r="J26" s="182" cm="1">
        <f t="array" ref="J26">Common_InputFunctions.Utility_DisplayArrayInTable(Fuel_SourceData.Fuel_Scope1Scope3EmissionFactorsTransport_Data(), Table_Fuel_EFs_Transport[[#Headers],[Transport type]], 0)</f>
        <v>0.4</v>
      </c>
      <c r="K26" s="182" cm="1">
        <f t="array" ref="K26">Common_InputFunctions.Utility_DisplayArrayInTable(Fuel_SourceData.Fuel_Scope1Scope3EmissionFactorsTransport_Data(), Table_Fuel_EFs_Transport[[#Headers],[Transport type]], 0)</f>
        <v>0.5</v>
      </c>
      <c r="L26" s="182" t="str" cm="1">
        <f t="array" ref="L26">Common_InputFunctions.Utility_DisplayArrayInTable(Fuel_SourceData.Fuel_Scope1Scope3EmissionFactorsTransport_Data(), Table_Fuel_EFs_Transport[[#Headers],[Transport type]], 0)</f>
        <v>NE</v>
      </c>
    </row>
    <row r="27" spans="1:12" ht="20.100000000000001" customHeight="1" x14ac:dyDescent="0.2">
      <c r="A27" s="5" t="str">
        <f>HYPERLINK("#'4.6.1.1-2 Methane'!A1", "4.6.1.1-2 Manure Methane")</f>
        <v>4.6.1.1-2 Manure Methane</v>
      </c>
      <c r="D27" s="182" t="str" cm="1">
        <f t="array" ref="D27">Common_InputFunctions.Utility_DisplayArrayInTable(Fuel_SourceData.Fuel_Scope1Scope3EmissionFactorsTransport_Data(), Table_Fuel_EFs_Transport[[#Headers],[Transport type]], 0)</f>
        <v>Heavy duty vehicles</v>
      </c>
      <c r="E27" s="182" t="str" cm="1">
        <f t="array" ref="E27">Common_InputFunctions.Utility_DisplayArrayInTable(Fuel_SourceData.Fuel_Scope1Scope3EmissionFactorsTransport_Data(), Table_Fuel_EFs_Transport[[#Headers],[Transport type]], 0)</f>
        <v>Renewable diesel – Euro i</v>
      </c>
      <c r="F27" s="182" cm="1">
        <f t="array" ref="F27">Common_InputFunctions.Utility_DisplayArrayInTable(Fuel_SourceData.Fuel_Scope1Scope3EmissionFactorsTransport_Data(), Table_Fuel_EFs_Transport[[#Headers],[Transport type]], 0)</f>
        <v>38.6</v>
      </c>
      <c r="G27" s="182" t="str" cm="1">
        <f t="array" ref="G27">Common_InputFunctions.Utility_DisplayArrayInTable(Fuel_SourceData.Fuel_Scope1Scope3EmissionFactorsTransport_Data(), Table_Fuel_EFs_Transport[[#Headers],[Transport type]], 0)</f>
        <v>kl</v>
      </c>
      <c r="H27" s="182" cm="1">
        <f t="array" ref="H27">Common_InputFunctions.Utility_DisplayArrayInTable(Fuel_SourceData.Fuel_Scope1Scope3EmissionFactorsTransport_Data(), Table_Fuel_EFs_Transport[[#Headers],[Transport type]], 0)</f>
        <v>0</v>
      </c>
      <c r="I27" s="182" cm="1">
        <f t="array" ref="I27">Common_InputFunctions.Utility_DisplayArrayInTable(Fuel_SourceData.Fuel_Scope1Scope3EmissionFactorsTransport_Data(), Table_Fuel_EFs_Transport[[#Headers],[Transport type]], 0)</f>
        <v>0.2</v>
      </c>
      <c r="J27" s="182" cm="1">
        <f t="array" ref="J27">Common_InputFunctions.Utility_DisplayArrayInTable(Fuel_SourceData.Fuel_Scope1Scope3EmissionFactorsTransport_Data(), Table_Fuel_EFs_Transport[[#Headers],[Transport type]], 0)</f>
        <v>0.4</v>
      </c>
      <c r="K27" s="182" cm="1">
        <f t="array" ref="K27">Common_InputFunctions.Utility_DisplayArrayInTable(Fuel_SourceData.Fuel_Scope1Scope3EmissionFactorsTransport_Data(), Table_Fuel_EFs_Transport[[#Headers],[Transport type]], 0)</f>
        <v>0.6</v>
      </c>
      <c r="L27" s="182" t="str" cm="1">
        <f t="array" ref="L27">Common_InputFunctions.Utility_DisplayArrayInTable(Fuel_SourceData.Fuel_Scope1Scope3EmissionFactorsTransport_Data(), Table_Fuel_EFs_Transport[[#Headers],[Transport type]], 0)</f>
        <v>NE</v>
      </c>
    </row>
    <row r="28" spans="1:12" ht="20.100000000000001" customHeight="1" x14ac:dyDescent="0.2">
      <c r="A28" s="5" t="str">
        <f>HYPERLINK("#'4.6.1.3-4 Direct N20'!A1", "4.6.1.3-4 Manure Direct N2O")</f>
        <v>4.6.1.3-4 Manure Direct N2O</v>
      </c>
      <c r="D28" s="182" t="str" cm="1">
        <f t="array" ref="D28">Common_InputFunctions.Utility_DisplayArrayInTable(Fuel_SourceData.Fuel_Scope1Scope3EmissionFactorsTransport_Data(), Table_Fuel_EFs_Transport[[#Headers],[Transport type]], 0)</f>
        <v>Aviation</v>
      </c>
      <c r="E28" s="182" t="str" cm="1">
        <f t="array" ref="E28">Common_InputFunctions.Utility_DisplayArrayInTable(Fuel_SourceData.Fuel_Scope1Scope3EmissionFactorsTransport_Data(), Table_Fuel_EFs_Transport[[#Headers],[Transport type]], 0)</f>
        <v>Gasoline for use as fuel in an aircraft</v>
      </c>
      <c r="F28" s="182" cm="1">
        <f t="array" ref="F28">Common_InputFunctions.Utility_DisplayArrayInTable(Fuel_SourceData.Fuel_Scope1Scope3EmissionFactorsTransport_Data(), Table_Fuel_EFs_Transport[[#Headers],[Transport type]], 0)</f>
        <v>33.1</v>
      </c>
      <c r="G28" s="182" t="str" cm="1">
        <f t="array" ref="G28">Common_InputFunctions.Utility_DisplayArrayInTable(Fuel_SourceData.Fuel_Scope1Scope3EmissionFactorsTransport_Data(), Table_Fuel_EFs_Transport[[#Headers],[Transport type]], 0)</f>
        <v>kl</v>
      </c>
      <c r="H28" s="182" cm="1">
        <f t="array" ref="H28">Common_InputFunctions.Utility_DisplayArrayInTable(Fuel_SourceData.Fuel_Scope1Scope3EmissionFactorsTransport_Data(), Table_Fuel_EFs_Transport[[#Headers],[Transport type]], 0)</f>
        <v>67</v>
      </c>
      <c r="I28" s="182" cm="1">
        <f t="array" ref="I28">Common_InputFunctions.Utility_DisplayArrayInTable(Fuel_SourceData.Fuel_Scope1Scope3EmissionFactorsTransport_Data(), Table_Fuel_EFs_Transport[[#Headers],[Transport type]], 0)</f>
        <v>0.06</v>
      </c>
      <c r="J28" s="182" cm="1">
        <f t="array" ref="J28">Common_InputFunctions.Utility_DisplayArrayInTable(Fuel_SourceData.Fuel_Scope1Scope3EmissionFactorsTransport_Data(), Table_Fuel_EFs_Transport[[#Headers],[Transport type]], 0)</f>
        <v>0.6</v>
      </c>
      <c r="K28" s="182" cm="1">
        <f t="array" ref="K28">Common_InputFunctions.Utility_DisplayArrayInTable(Fuel_SourceData.Fuel_Scope1Scope3EmissionFactorsTransport_Data(), Table_Fuel_EFs_Transport[[#Headers],[Transport type]], 0)</f>
        <v>67.66</v>
      </c>
      <c r="L28" s="182" cm="1">
        <f t="array" ref="L28">Common_InputFunctions.Utility_DisplayArrayInTable(Fuel_SourceData.Fuel_Scope1Scope3EmissionFactorsTransport_Data(), Table_Fuel_EFs_Transport[[#Headers],[Transport type]], 0)</f>
        <v>18</v>
      </c>
    </row>
    <row r="29" spans="1:12" ht="20.100000000000001" customHeight="1" x14ac:dyDescent="0.2">
      <c r="A29" s="5" t="str">
        <f>HYPERLINK("#'4.6.1.5-6 Atmos Dep'!A1", "4.6.1.5-6 Manure Atmos Dep")</f>
        <v>4.6.1.5-6 Manure Atmos Dep</v>
      </c>
      <c r="D29" s="182" t="str" cm="1">
        <f t="array" ref="D29">Common_InputFunctions.Utility_DisplayArrayInTable(Fuel_SourceData.Fuel_Scope1Scope3EmissionFactorsTransport_Data(), Table_Fuel_EFs_Transport[[#Headers],[Transport type]], 0)</f>
        <v>Aviation</v>
      </c>
      <c r="E29" s="182" t="str" cm="1">
        <f t="array" ref="E29">Common_InputFunctions.Utility_DisplayArrayInTable(Fuel_SourceData.Fuel_Scope1Scope3EmissionFactorsTransport_Data(), Table_Fuel_EFs_Transport[[#Headers],[Transport type]], 0)</f>
        <v>Kerosene for use as fuel in an aircraft</v>
      </c>
      <c r="F29" s="182" cm="1">
        <f t="array" ref="F29">Common_InputFunctions.Utility_DisplayArrayInTable(Fuel_SourceData.Fuel_Scope1Scope3EmissionFactorsTransport_Data(), Table_Fuel_EFs_Transport[[#Headers],[Transport type]], 0)</f>
        <v>36.799999999999997</v>
      </c>
      <c r="G29" s="182" t="str" cm="1">
        <f t="array" ref="G29">Common_InputFunctions.Utility_DisplayArrayInTable(Fuel_SourceData.Fuel_Scope1Scope3EmissionFactorsTransport_Data(), Table_Fuel_EFs_Transport[[#Headers],[Transport type]], 0)</f>
        <v>kl</v>
      </c>
      <c r="H29" s="182" cm="1">
        <f t="array" ref="H29">Common_InputFunctions.Utility_DisplayArrayInTable(Fuel_SourceData.Fuel_Scope1Scope3EmissionFactorsTransport_Data(), Table_Fuel_EFs_Transport[[#Headers],[Transport type]], 0)</f>
        <v>69.599999999999994</v>
      </c>
      <c r="I29" s="182" cm="1">
        <f t="array" ref="I29">Common_InputFunctions.Utility_DisplayArrayInTable(Fuel_SourceData.Fuel_Scope1Scope3EmissionFactorsTransport_Data(), Table_Fuel_EFs_Transport[[#Headers],[Transport type]], 0)</f>
        <v>0.01</v>
      </c>
      <c r="J29" s="182" cm="1">
        <f t="array" ref="J29">Common_InputFunctions.Utility_DisplayArrayInTable(Fuel_SourceData.Fuel_Scope1Scope3EmissionFactorsTransport_Data(), Table_Fuel_EFs_Transport[[#Headers],[Transport type]], 0)</f>
        <v>0.6</v>
      </c>
      <c r="K29" s="182" cm="1">
        <f t="array" ref="K29">Common_InputFunctions.Utility_DisplayArrayInTable(Fuel_SourceData.Fuel_Scope1Scope3EmissionFactorsTransport_Data(), Table_Fuel_EFs_Transport[[#Headers],[Transport type]], 0)</f>
        <v>70.209999999999994</v>
      </c>
      <c r="L29" s="182" cm="1">
        <f t="array" ref="L29">Common_InputFunctions.Utility_DisplayArrayInTable(Fuel_SourceData.Fuel_Scope1Scope3EmissionFactorsTransport_Data(), Table_Fuel_EFs_Transport[[#Headers],[Transport type]], 0)</f>
        <v>18</v>
      </c>
    </row>
    <row r="30" spans="1:12" ht="20.100000000000001" customHeight="1" x14ac:dyDescent="0.2">
      <c r="A30" s="5" t="str">
        <f>HYPERLINK("#'4.6.1.7-8 Leaching and runoff'!A1", "4.6.1.7-8 Manure Leaching and runoff")</f>
        <v>4.6.1.7-8 Manure Leaching and runoff</v>
      </c>
      <c r="D30" s="182" t="str" cm="1">
        <f t="array" ref="D30">Common_InputFunctions.Utility_DisplayArrayInTable(Fuel_SourceData.Fuel_Scope1Scope3EmissionFactorsTransport_Data(), Table_Fuel_EFs_Transport[[#Headers],[Transport type]], 0)</f>
        <v>Aviation</v>
      </c>
      <c r="E30" s="182" t="str" cm="1">
        <f t="array" ref="E30">Common_InputFunctions.Utility_DisplayArrayInTable(Fuel_SourceData.Fuel_Scope1Scope3EmissionFactorsTransport_Data(), Table_Fuel_EFs_Transport[[#Headers],[Transport type]], 0)</f>
        <v>Renewable aviation kerosene</v>
      </c>
      <c r="F30" s="182" cm="1">
        <f t="array" ref="F30">Common_InputFunctions.Utility_DisplayArrayInTable(Fuel_SourceData.Fuel_Scope1Scope3EmissionFactorsTransport_Data(), Table_Fuel_EFs_Transport[[#Headers],[Transport type]], 0)</f>
        <v>36.799999999999997</v>
      </c>
      <c r="G30" s="182" t="str" cm="1">
        <f t="array" ref="G30">Common_InputFunctions.Utility_DisplayArrayInTable(Fuel_SourceData.Fuel_Scope1Scope3EmissionFactorsTransport_Data(), Table_Fuel_EFs_Transport[[#Headers],[Transport type]], 0)</f>
        <v>kl</v>
      </c>
      <c r="H30" s="182" cm="1">
        <f t="array" ref="H30">Common_InputFunctions.Utility_DisplayArrayInTable(Fuel_SourceData.Fuel_Scope1Scope3EmissionFactorsTransport_Data(), Table_Fuel_EFs_Transport[[#Headers],[Transport type]], 0)</f>
        <v>0</v>
      </c>
      <c r="I30" s="182" cm="1">
        <f t="array" ref="I30">Common_InputFunctions.Utility_DisplayArrayInTable(Fuel_SourceData.Fuel_Scope1Scope3EmissionFactorsTransport_Data(), Table_Fuel_EFs_Transport[[#Headers],[Transport type]], 0)</f>
        <v>0.01</v>
      </c>
      <c r="J30" s="182" cm="1">
        <f t="array" ref="J30">Common_InputFunctions.Utility_DisplayArrayInTable(Fuel_SourceData.Fuel_Scope1Scope3EmissionFactorsTransport_Data(), Table_Fuel_EFs_Transport[[#Headers],[Transport type]], 0)</f>
        <v>0.6</v>
      </c>
      <c r="K30" s="182" cm="1">
        <f t="array" ref="K30">Common_InputFunctions.Utility_DisplayArrayInTable(Fuel_SourceData.Fuel_Scope1Scope3EmissionFactorsTransport_Data(), Table_Fuel_EFs_Transport[[#Headers],[Transport type]], 0)</f>
        <v>0.61</v>
      </c>
      <c r="L30" s="182" t="str" cm="1">
        <f t="array" ref="L30">Common_InputFunctions.Utility_DisplayArrayInTable(Fuel_SourceData.Fuel_Scope1Scope3EmissionFactorsTransport_Data(), Table_Fuel_EFs_Transport[[#Headers],[Transport type]], 0)</f>
        <v>NE</v>
      </c>
    </row>
    <row r="31" spans="1:12" ht="20.100000000000001" customHeight="1" x14ac:dyDescent="0.2">
      <c r="A31" s="5" t="str">
        <f>HYPERLINK("#'4.6.1.9 Manure applied to soils'!A1", "4.6.1.9 Manure applied to soils")</f>
        <v>4.6.1.9 Manure applied to soils</v>
      </c>
      <c r="D31" s="182" t="str" cm="1">
        <f t="array" ref="D31">Common_InputFunctions.Utility_DisplayArrayInTable(Fuel_SourceData.Fuel_Scope1Scope3EmissionFactorsTransport_Data(), Table_Fuel_EFs_Transport[[#Headers],[Transport type]], 0)</f>
        <v>Vessels</v>
      </c>
      <c r="E31" s="182" t="str" cm="1">
        <f t="array" ref="E31">Common_InputFunctions.Utility_DisplayArrayInTable(Fuel_SourceData.Fuel_Scope1Scope3EmissionFactorsTransport_Data(), Table_Fuel_EFs_Transport[[#Headers],[Transport type]], 0)</f>
        <v>Gasoline</v>
      </c>
      <c r="F31" s="182" cm="1">
        <f t="array" ref="F31">Common_InputFunctions.Utility_DisplayArrayInTable(Fuel_SourceData.Fuel_Scope1Scope3EmissionFactorsTransport_Data(), Table_Fuel_EFs_Transport[[#Headers],[Transport type]], 0)</f>
        <v>34.200000000000003</v>
      </c>
      <c r="G31" s="182" t="str" cm="1">
        <f t="array" ref="G31">Common_InputFunctions.Utility_DisplayArrayInTable(Fuel_SourceData.Fuel_Scope1Scope3EmissionFactorsTransport_Data(), Table_Fuel_EFs_Transport[[#Headers],[Transport type]], 0)</f>
        <v>kL</v>
      </c>
      <c r="H31" s="182" cm="1">
        <f t="array" ref="H31">Common_InputFunctions.Utility_DisplayArrayInTable(Fuel_SourceData.Fuel_Scope1Scope3EmissionFactorsTransport_Data(), Table_Fuel_EFs_Transport[[#Headers],[Transport type]], 0)</f>
        <v>67.400000000000006</v>
      </c>
      <c r="I31" s="182" cm="1">
        <f t="array" ref="I31">Common_InputFunctions.Utility_DisplayArrayInTable(Fuel_SourceData.Fuel_Scope1Scope3EmissionFactorsTransport_Data(), Table_Fuel_EFs_Transport[[#Headers],[Transport type]], 0)</f>
        <v>10.1</v>
      </c>
      <c r="J31" s="182" cm="1">
        <f t="array" ref="J31">Common_InputFunctions.Utility_DisplayArrayInTable(Fuel_SourceData.Fuel_Scope1Scope3EmissionFactorsTransport_Data(), Table_Fuel_EFs_Transport[[#Headers],[Transport type]], 0)</f>
        <v>0.3</v>
      </c>
      <c r="K31" s="182" t="str" cm="1">
        <f t="array" ref="K31">Common_InputFunctions.Utility_DisplayArrayInTable(Fuel_SourceData.Fuel_Scope1Scope3EmissionFactorsTransport_Data(), Table_Fuel_EFs_Transport[[#Headers],[Transport type]], 0)</f>
        <v/>
      </c>
      <c r="L31" s="182" cm="1">
        <f t="array" ref="L31">Common_InputFunctions.Utility_DisplayArrayInTable(Fuel_SourceData.Fuel_Scope1Scope3EmissionFactorsTransport_Data(), Table_Fuel_EFs_Transport[[#Headers],[Transport type]], 0)</f>
        <v>17.2</v>
      </c>
    </row>
    <row r="32" spans="1:12" ht="20.100000000000001" customHeight="1" x14ac:dyDescent="0.2">
      <c r="A32" s="5" t="str">
        <f>HYPERLINK("#'4.6.1.10-11 Soil direct N2O'!A1", "4.6.1.10-11 Soil direct N2O")</f>
        <v>4.6.1.10-11 Soil direct N2O</v>
      </c>
      <c r="D32" s="183" t="str" cm="1">
        <f t="array" ref="D32">Common_InputFunctions.Utility_DisplayArrayInTable(Fuel_SourceData.Fuel_Scope1Scope3EmissionFactorsTransport_Data(), Table_Fuel_EFs_Transport[[#Headers],[Transport type]], 0)</f>
        <v>Vessels</v>
      </c>
      <c r="E32" s="183" t="str" cm="1">
        <f t="array" ref="E32">Common_InputFunctions.Utility_DisplayArrayInTable(Fuel_SourceData.Fuel_Scope1Scope3EmissionFactorsTransport_Data(), Table_Fuel_EFs_Transport[[#Headers],[Transport type]], 0)</f>
        <v>Diesel oil</v>
      </c>
      <c r="F32" s="183" cm="1">
        <f t="array" ref="F32">Common_InputFunctions.Utility_DisplayArrayInTable(Fuel_SourceData.Fuel_Scope1Scope3EmissionFactorsTransport_Data(), Table_Fuel_EFs_Transport[[#Headers],[Transport type]], 0)</f>
        <v>38.6</v>
      </c>
      <c r="G32" s="183" t="str" cm="1">
        <f t="array" ref="G32">Common_InputFunctions.Utility_DisplayArrayInTable(Fuel_SourceData.Fuel_Scope1Scope3EmissionFactorsTransport_Data(), Table_Fuel_EFs_Transport[[#Headers],[Transport type]], 0)</f>
        <v>kL</v>
      </c>
      <c r="H32" s="183" cm="1">
        <f t="array" ref="H32">Common_InputFunctions.Utility_DisplayArrayInTable(Fuel_SourceData.Fuel_Scope1Scope3EmissionFactorsTransport_Data(), Table_Fuel_EFs_Transport[[#Headers],[Transport type]], 0)</f>
        <v>69.900000000000006</v>
      </c>
      <c r="I32" s="183" cm="1">
        <f t="array" ref="I32">Common_InputFunctions.Utility_DisplayArrayInTable(Fuel_SourceData.Fuel_Scope1Scope3EmissionFactorsTransport_Data(), Table_Fuel_EFs_Transport[[#Headers],[Transport type]], 0)</f>
        <v>0.2</v>
      </c>
      <c r="J32" s="183" cm="1">
        <f t="array" ref="J32">Common_InputFunctions.Utility_DisplayArrayInTable(Fuel_SourceData.Fuel_Scope1Scope3EmissionFactorsTransport_Data(), Table_Fuel_EFs_Transport[[#Headers],[Transport type]], 0)</f>
        <v>0.5</v>
      </c>
      <c r="K32" s="183" t="str" cm="1">
        <f t="array" ref="K32">Common_InputFunctions.Utility_DisplayArrayInTable(Fuel_SourceData.Fuel_Scope1Scope3EmissionFactorsTransport_Data(), Table_Fuel_EFs_Transport[[#Headers],[Transport type]], 0)</f>
        <v/>
      </c>
      <c r="L32" s="183" cm="1">
        <f t="array" ref="L32">Common_InputFunctions.Utility_DisplayArrayInTable(Fuel_SourceData.Fuel_Scope1Scope3EmissionFactorsTransport_Data(), Table_Fuel_EFs_Transport[[#Headers],[Transport type]], 0)</f>
        <v>17.3</v>
      </c>
    </row>
    <row r="33" spans="1:12" ht="20.100000000000001" customHeight="1" x14ac:dyDescent="0.2">
      <c r="A33" s="5" t="str">
        <f>HYPERLINK("#'4.6.1.12-13 Soil atmos dep'!A1", "4.6.1.12-13 Soil atmos dep")</f>
        <v>4.6.1.12-13 Soil atmos dep</v>
      </c>
      <c r="D33" s="183" t="str" cm="1">
        <f t="array" ref="D33">Common_InputFunctions.Utility_DisplayArrayInTable(Fuel_SourceData.Fuel_Scope1Scope3EmissionFactorsTransport_Data(), Table_Fuel_EFs_Transport[[#Headers],[Transport type]], 0)</f>
        <v>Vessels</v>
      </c>
      <c r="E33" s="183" t="str" cm="1">
        <f t="array" ref="E33">Common_InputFunctions.Utility_DisplayArrayInTable(Fuel_SourceData.Fuel_Scope1Scope3EmissionFactorsTransport_Data(), Table_Fuel_EFs_Transport[[#Headers],[Transport type]], 0)</f>
        <v>Fuel Oil</v>
      </c>
      <c r="F33" s="183" cm="1">
        <f t="array" ref="F33">Common_InputFunctions.Utility_DisplayArrayInTable(Fuel_SourceData.Fuel_Scope1Scope3EmissionFactorsTransport_Data(), Table_Fuel_EFs_Transport[[#Headers],[Transport type]], 0)</f>
        <v>39.700000000000003</v>
      </c>
      <c r="G33" s="183" t="str" cm="1">
        <f t="array" ref="G33">Common_InputFunctions.Utility_DisplayArrayInTable(Fuel_SourceData.Fuel_Scope1Scope3EmissionFactorsTransport_Data(), Table_Fuel_EFs_Transport[[#Headers],[Transport type]], 0)</f>
        <v>kL</v>
      </c>
      <c r="H33" s="183" cm="1">
        <f t="array" ref="H33">Common_InputFunctions.Utility_DisplayArrayInTable(Fuel_SourceData.Fuel_Scope1Scope3EmissionFactorsTransport_Data(), Table_Fuel_EFs_Transport[[#Headers],[Transport type]], 0)</f>
        <v>73.599999999999994</v>
      </c>
      <c r="I33" s="183" cm="1">
        <f t="array" ref="I33">Common_InputFunctions.Utility_DisplayArrayInTable(Fuel_SourceData.Fuel_Scope1Scope3EmissionFactorsTransport_Data(), Table_Fuel_EFs_Transport[[#Headers],[Transport type]], 0)</f>
        <v>0.2</v>
      </c>
      <c r="J33" s="183" cm="1">
        <f t="array" ref="J33">Common_InputFunctions.Utility_DisplayArrayInTable(Fuel_SourceData.Fuel_Scope1Scope3EmissionFactorsTransport_Data(), Table_Fuel_EFs_Transport[[#Headers],[Transport type]], 0)</f>
        <v>0.5</v>
      </c>
      <c r="K33" s="183" t="str" cm="1">
        <f t="array" ref="K33">Common_InputFunctions.Utility_DisplayArrayInTable(Fuel_SourceData.Fuel_Scope1Scope3EmissionFactorsTransport_Data(), Table_Fuel_EFs_Transport[[#Headers],[Transport type]], 0)</f>
        <v/>
      </c>
      <c r="L33" s="183" cm="1">
        <f t="array" ref="L33">Common_InputFunctions.Utility_DisplayArrayInTable(Fuel_SourceData.Fuel_Scope1Scope3EmissionFactorsTransport_Data(), Table_Fuel_EFs_Transport[[#Headers],[Transport type]], 0)</f>
        <v>18</v>
      </c>
    </row>
    <row r="34" spans="1:12" ht="20.100000000000001" customHeight="1" x14ac:dyDescent="0.2">
      <c r="A34" s="5" t="str">
        <f>HYPERLINK("#'4.6.1.14-15 Soil leach runoff'!A1", "4.6.1.14-15 Soil leach runoff")</f>
        <v>4.6.1.14-15 Soil leach runoff</v>
      </c>
      <c r="D34" s="183" t="str" cm="1">
        <f t="array" ref="D34">Common_InputFunctions.Utility_DisplayArrayInTable(Fuel_SourceData.Fuel_Scope1Scope3EmissionFactorsTransport_Data(), Table_Fuel_EFs_Transport[[#Headers],[Transport type]], 0)</f>
        <v>Off-road Agriculture and forestry equipment</v>
      </c>
      <c r="E34" s="183" t="str" cm="1">
        <f t="array" ref="E34">Common_InputFunctions.Utility_DisplayArrayInTable(Fuel_SourceData.Fuel_Scope1Scope3EmissionFactorsTransport_Data(), Table_Fuel_EFs_Transport[[#Headers],[Transport type]], 0)</f>
        <v>Diesel oil</v>
      </c>
      <c r="F34" s="183" cm="1">
        <f t="array" ref="F34">Common_InputFunctions.Utility_DisplayArrayInTable(Fuel_SourceData.Fuel_Scope1Scope3EmissionFactorsTransport_Data(), Table_Fuel_EFs_Transport[[#Headers],[Transport type]], 0)</f>
        <v>38.6</v>
      </c>
      <c r="G34" s="183" t="str" cm="1">
        <f t="array" ref="G34">Common_InputFunctions.Utility_DisplayArrayInTable(Fuel_SourceData.Fuel_Scope1Scope3EmissionFactorsTransport_Data(), Table_Fuel_EFs_Transport[[#Headers],[Transport type]], 0)</f>
        <v>kL</v>
      </c>
      <c r="H34" s="183" cm="1">
        <f t="array" ref="H34">Common_InputFunctions.Utility_DisplayArrayInTable(Fuel_SourceData.Fuel_Scope1Scope3EmissionFactorsTransport_Data(), Table_Fuel_EFs_Transport[[#Headers],[Transport type]], 0)</f>
        <v>69.900000000000006</v>
      </c>
      <c r="I34" s="183" cm="1">
        <f t="array" ref="I34">Common_InputFunctions.Utility_DisplayArrayInTable(Fuel_SourceData.Fuel_Scope1Scope3EmissionFactorsTransport_Data(), Table_Fuel_EFs_Transport[[#Headers],[Transport type]], 0)</f>
        <v>0.3</v>
      </c>
      <c r="J34" s="183" cm="1">
        <f t="array" ref="J34">Common_InputFunctions.Utility_DisplayArrayInTable(Fuel_SourceData.Fuel_Scope1Scope3EmissionFactorsTransport_Data(), Table_Fuel_EFs_Transport[[#Headers],[Transport type]], 0)</f>
        <v>0.5</v>
      </c>
      <c r="K34" s="183" t="str" cm="1">
        <f t="array" ref="K34">Common_InputFunctions.Utility_DisplayArrayInTable(Fuel_SourceData.Fuel_Scope1Scope3EmissionFactorsTransport_Data(), Table_Fuel_EFs_Transport[[#Headers],[Transport type]], 0)</f>
        <v/>
      </c>
      <c r="L34" s="183" cm="1">
        <f t="array" ref="L34">Common_InputFunctions.Utility_DisplayArrayInTable(Fuel_SourceData.Fuel_Scope1Scope3EmissionFactorsTransport_Data(), Table_Fuel_EFs_Transport[[#Headers],[Transport type]], 0)</f>
        <v>17.3</v>
      </c>
    </row>
    <row r="35" spans="1:12" ht="20.100000000000001" customHeight="1" x14ac:dyDescent="0.2">
      <c r="A35" s="5" t="str">
        <f>HYPERLINK("#'8.1.1.1-2 Transport fuel'!A1", "8.1.1.1-2 Transport fuel")</f>
        <v>8.1.1.1-2 Transport fuel</v>
      </c>
    </row>
    <row r="36" spans="1:12" ht="20.100000000000001" customHeight="1" x14ac:dyDescent="0.2">
      <c r="A36" s="5" t="str">
        <f>HYPERLINK("#'8.2.1.1-2 Stationary fuel'!A1", "8.2.1.1-2 Stationary fuel")</f>
        <v>8.2.1.1-2 Stationary fuel</v>
      </c>
    </row>
    <row r="37" spans="1:12" ht="20.100000000000001" customHeight="1" x14ac:dyDescent="0.2">
      <c r="A37" s="5" t="str">
        <f>HYPERLINK("#'10.1.1-2 Solid waste treatment'!A1", "10.1.1.1-2 Solid waste")</f>
        <v>10.1.1.1-2 Solid waste</v>
      </c>
      <c r="D37" s="2" t="str" cm="1">
        <f t="array" ref="D37">Fuel_SourceData.Fuel_Scope1Scope3EmissionFactorsTransportOffRoad_Title()</f>
        <v>Fuel scope 1 and 3 emission factors - Off-road equipment and vessels</v>
      </c>
    </row>
    <row r="38" spans="1:12" ht="20.100000000000001" customHeight="1" x14ac:dyDescent="0.2">
      <c r="A38" s="5" t="str">
        <f>HYPERLINK("#'14.1.1-2 Purchased electricity'!A1", "14.1.1-2 Purchased electricity")</f>
        <v>14.1.1-2 Purchased electricity</v>
      </c>
      <c r="D38" s="17" t="str" cm="1">
        <f t="array" ref="D38">Fuel_SourceData.Fuel_Scope1Scope3EmissionFactorsTransportOffRoad_Source()</f>
        <v>VEERG 2026: Table A.4.2.1</v>
      </c>
    </row>
    <row r="39" spans="1:12" ht="20.100000000000001" customHeight="1" x14ac:dyDescent="0.2">
      <c r="A39" s="5" t="str">
        <f>HYPERLINK("#'15 Scope 3'!A1", "15 Scope 3")</f>
        <v>15 Scope 3</v>
      </c>
      <c r="D39" s="19" t="s">
        <v>648</v>
      </c>
      <c r="E39" s="19" t="s">
        <v>649</v>
      </c>
      <c r="F39" s="19" t="s">
        <v>650</v>
      </c>
      <c r="G39" s="19" t="s">
        <v>651</v>
      </c>
      <c r="H39" s="19" t="s">
        <v>652</v>
      </c>
      <c r="I39" s="19" t="s">
        <v>653</v>
      </c>
      <c r="J39" s="19" t="s">
        <v>654</v>
      </c>
    </row>
    <row r="40" spans="1:12" ht="20.100000000000001" customHeight="1" x14ac:dyDescent="0.2">
      <c r="A40" s="5" t="str">
        <f>HYPERLINK("#'Calcs - Manure sent off-site'!A1", "Calcs - Manure sent off-site")</f>
        <v>Calcs - Manure sent off-site</v>
      </c>
      <c r="D40" s="19" t="str" cm="1">
        <f t="array" ref="D40">Common_InputFunctions.Utility_DisplayArrayInTable(Fuel_SourceData.Fuel_Scope1Scope3EmissionFactorsTransportOffRoad_Data(), Table_SourceData_Fuel_TransportOffroad[[#Headers],[Transport type t]],0)</f>
        <v>Vessel</v>
      </c>
      <c r="E40" s="19" t="str" cm="1">
        <f t="array" ref="E40">Common_InputFunctions.Utility_DisplayArrayInTable(Fuel_SourceData.Fuel_Scope1Scope3EmissionFactorsTransportOffRoad_Data(), Table_SourceData_Fuel_TransportOffroad[[#Headers],[Transport type t]],0)</f>
        <v>Petrol</v>
      </c>
      <c r="F40" s="19" cm="1">
        <f t="array" ref="F40">Common_InputFunctions.Utility_DisplayArrayInTable(Fuel_SourceData.Fuel_Scope1Scope3EmissionFactorsTransportOffRoad_Data(), Table_SourceData_Fuel_TransportOffroad[[#Headers],[Transport type t]],0)</f>
        <v>34.200000000000003</v>
      </c>
      <c r="G40" s="19" cm="1">
        <f t="array" ref="G40">Common_InputFunctions.Utility_DisplayArrayInTable(Fuel_SourceData.Fuel_Scope1Scope3EmissionFactorsTransportOffRoad_Data(), Table_SourceData_Fuel_TransportOffroad[[#Headers],[Transport type t]],0)</f>
        <v>67.400000000000006</v>
      </c>
      <c r="H40" s="19" cm="1">
        <f t="array" ref="H40">Common_InputFunctions.Utility_DisplayArrayInTable(Fuel_SourceData.Fuel_Scope1Scope3EmissionFactorsTransportOffRoad_Data(), Table_SourceData_Fuel_TransportOffroad[[#Headers],[Transport type t]],0)</f>
        <v>10.1</v>
      </c>
      <c r="I40" s="19" cm="1">
        <f t="array" ref="I40">Common_InputFunctions.Utility_DisplayArrayInTable(Fuel_SourceData.Fuel_Scope1Scope3EmissionFactorsTransportOffRoad_Data(), Table_SourceData_Fuel_TransportOffroad[[#Headers],[Transport type t]],0)</f>
        <v>0.3</v>
      </c>
      <c r="J40" s="19"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
      <c r="A41" s="5" t="str">
        <f>HYPERLINK("#'5.1.1.1-2 Inorganic fert N2O'!A1", "5.1.1.1-2 Inorganic fert N2O")</f>
        <v>5.1.1.1-2 Inorganic fert N2O</v>
      </c>
      <c r="D41" s="1" t="str" cm="1">
        <f t="array" ref="D41">Common_InputFunctions.Utility_DisplayArrayInTable(Fuel_SourceData.Fuel_Scope1Scope3EmissionFactorsTransportOffRoad_Data(), Table_SourceData_Fuel_TransportOffroad[[#Headers],[Transport type t]],0)</f>
        <v>Vessel</v>
      </c>
      <c r="E41" s="19" t="str" cm="1">
        <f t="array" ref="E41">Common_InputFunctions.Utility_DisplayArrayInTable(Fuel_SourceData.Fuel_Scope1Scope3EmissionFactorsTransportOffRoad_Data(), Table_SourceData_Fuel_TransportOffroad[[#Headers],[Transport type t]],0)</f>
        <v>Diesel</v>
      </c>
      <c r="F41" s="19" cm="1">
        <f t="array" ref="F41">Common_InputFunctions.Utility_DisplayArrayInTable(Fuel_SourceData.Fuel_Scope1Scope3EmissionFactorsTransportOffRoad_Data(), Table_SourceData_Fuel_TransportOffroad[[#Headers],[Transport type t]],0)</f>
        <v>38.6</v>
      </c>
      <c r="G41" s="19" cm="1">
        <f t="array" ref="G41">Common_InputFunctions.Utility_DisplayArrayInTable(Fuel_SourceData.Fuel_Scope1Scope3EmissionFactorsTransportOffRoad_Data(), Table_SourceData_Fuel_TransportOffroad[[#Headers],[Transport type t]],0)</f>
        <v>69.900000000000006</v>
      </c>
      <c r="H41" s="19" cm="1">
        <f t="array" ref="H41">Common_InputFunctions.Utility_DisplayArrayInTable(Fuel_SourceData.Fuel_Scope1Scope3EmissionFactorsTransportOffRoad_Data(), Table_SourceData_Fuel_TransportOffroad[[#Headers],[Transport type t]],0)</f>
        <v>0.2</v>
      </c>
      <c r="I41" s="19" cm="1">
        <f t="array" ref="I41">Common_InputFunctions.Utility_DisplayArrayInTable(Fuel_SourceData.Fuel_Scope1Scope3EmissionFactorsTransportOffRoad_Data(), Table_SourceData_Fuel_TransportOffroad[[#Headers],[Transport type t]],0)</f>
        <v>0.5</v>
      </c>
      <c r="J41" s="19"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
      <c r="A42" s="5" t="str">
        <f>HYPERLINK("#'5.1.1.3-4 Inorganic fert CO2'!A1", "5.1.1.3-4 Inorganic fert CO2")</f>
        <v>5.1.1.3-4 Inorganic fert CO2</v>
      </c>
      <c r="D42" s="1" t="str" cm="1">
        <f t="array" ref="D42">Common_InputFunctions.Utility_DisplayArrayInTable(Fuel_SourceData.Fuel_Scope1Scope3EmissionFactorsTransportOffRoad_Data(), Table_SourceData_Fuel_TransportOffroad[[#Headers],[Transport type t]],0)</f>
        <v>Vessel</v>
      </c>
      <c r="E42" s="19" t="str" cm="1">
        <f t="array" ref="E42">Common_InputFunctions.Utility_DisplayArrayInTable(Fuel_SourceData.Fuel_Scope1Scope3EmissionFactorsTransportOffRoad_Data(), Table_SourceData_Fuel_TransportOffroad[[#Headers],[Transport type t]],0)</f>
        <v>Fuel Oil</v>
      </c>
      <c r="F42" s="19" cm="1">
        <f t="array" ref="F42">Common_InputFunctions.Utility_DisplayArrayInTable(Fuel_SourceData.Fuel_Scope1Scope3EmissionFactorsTransportOffRoad_Data(), Table_SourceData_Fuel_TransportOffroad[[#Headers],[Transport type t]],0)</f>
        <v>39.700000000000003</v>
      </c>
      <c r="G42" s="19" cm="1">
        <f t="array" ref="G42">Common_InputFunctions.Utility_DisplayArrayInTable(Fuel_SourceData.Fuel_Scope1Scope3EmissionFactorsTransportOffRoad_Data(), Table_SourceData_Fuel_TransportOffroad[[#Headers],[Transport type t]],0)</f>
        <v>73.599999999999994</v>
      </c>
      <c r="H42" s="19" cm="1">
        <f t="array" ref="H42">Common_InputFunctions.Utility_DisplayArrayInTable(Fuel_SourceData.Fuel_Scope1Scope3EmissionFactorsTransportOffRoad_Data(), Table_SourceData_Fuel_TransportOffroad[[#Headers],[Transport type t]],0)</f>
        <v>0.2</v>
      </c>
      <c r="I42" s="19" cm="1">
        <f t="array" ref="I42">Common_InputFunctions.Utility_DisplayArrayInTable(Fuel_SourceData.Fuel_Scope1Scope3EmissionFactorsTransportOffRoad_Data(), Table_SourceData_Fuel_TransportOffroad[[#Headers],[Transport type t]],0)</f>
        <v>0.5</v>
      </c>
      <c r="J42" s="19" cm="1">
        <f t="array" ref="J42">Common_InputFunctions.Utility_DisplayArrayInTable(Fuel_SourceData.Fuel_Scope1Scope3EmissionFactorsTransportOffRoad_Data(), Table_SourceData_Fuel_TransportOffroad[[#Headers],[Transport type t]],0)</f>
        <v>18</v>
      </c>
    </row>
    <row r="43" spans="1:12" ht="20.100000000000001" customHeight="1" x14ac:dyDescent="0.2">
      <c r="A43" s="5" t="str">
        <f>HYPERLINK("#'5.2.1.1-2 Organic Fert N2O'!A1", "5.2.1.1-2 Organic Fert N2O")</f>
        <v>5.2.1.1-2 Organic Fert N2O</v>
      </c>
      <c r="D43" s="1" t="str" cm="1">
        <f t="array" ref="D43">Common_InputFunctions.Utility_DisplayArrayInTable(Fuel_SourceData.Fuel_Scope1Scope3EmissionFactorsTransportOffRoad_Data(), Table_SourceData_Fuel_TransportOffroad[[#Headers],[Transport type t]],0)</f>
        <v>Off-road Agriculture and forestry equipment</v>
      </c>
      <c r="E43" s="19" t="str" cm="1">
        <f t="array" ref="E43">Common_InputFunctions.Utility_DisplayArrayInTable(Fuel_SourceData.Fuel_Scope1Scope3EmissionFactorsTransportOffRoad_Data(), Table_SourceData_Fuel_TransportOffroad[[#Headers],[Transport type t]],0)</f>
        <v>Diesel</v>
      </c>
      <c r="F43" s="19" cm="1">
        <f t="array" ref="F43">Common_InputFunctions.Utility_DisplayArrayInTable(Fuel_SourceData.Fuel_Scope1Scope3EmissionFactorsTransportOffRoad_Data(), Table_SourceData_Fuel_TransportOffroad[[#Headers],[Transport type t]],0)</f>
        <v>38.6</v>
      </c>
      <c r="G43" s="19" cm="1">
        <f t="array" ref="G43">Common_InputFunctions.Utility_DisplayArrayInTable(Fuel_SourceData.Fuel_Scope1Scope3EmissionFactorsTransportOffRoad_Data(), Table_SourceData_Fuel_TransportOffroad[[#Headers],[Transport type t]],0)</f>
        <v>69.900000000000006</v>
      </c>
      <c r="H43" s="19" cm="1">
        <f t="array" ref="H43">Common_InputFunctions.Utility_DisplayArrayInTable(Fuel_SourceData.Fuel_Scope1Scope3EmissionFactorsTransportOffRoad_Data(), Table_SourceData_Fuel_TransportOffroad[[#Headers],[Transport type t]],0)</f>
        <v>0.3</v>
      </c>
      <c r="I43" s="19" cm="1">
        <f t="array" ref="I43">Common_InputFunctions.Utility_DisplayArrayInTable(Fuel_SourceData.Fuel_Scope1Scope3EmissionFactorsTransportOffRoad_Data(), Table_SourceData_Fuel_TransportOffroad[[#Headers],[Transport type t]],0)</f>
        <v>0.5</v>
      </c>
      <c r="J43" s="19"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
      <c r="A44" s="5" t="str">
        <f>HYPERLINK("#'5.3.1.1-2 Lime CO2'!A1", "5.3.1.1-2 Lime CO2")</f>
        <v>5.3.1.1-2 Lime CO2</v>
      </c>
    </row>
    <row r="45" spans="1:12" ht="20.100000000000001" customHeight="1" x14ac:dyDescent="0.2">
      <c r="A45" s="5" t="str">
        <f>HYPERLINK("#'5.4.1.1-4 Atmos deposition'!A1", "5.4.1.1-4 Atmos deposition")</f>
        <v>5.4.1.1-4 Atmos deposition</v>
      </c>
    </row>
    <row r="46" spans="1:12" ht="20.100000000000001" customHeight="1" x14ac:dyDescent="0.2">
      <c r="A46" s="5" t="str">
        <f>HYPERLINK("#'5.5.1.1-2 Leaching and runoff'!A1", "5.5.1.1-2 Leaching and runoff")</f>
        <v>5.5.1.1-2 Leaching and runoff</v>
      </c>
    </row>
    <row r="49" spans="1:12" ht="20.100000000000001" customHeight="1" x14ac:dyDescent="0.2">
      <c r="A49" s="80" t="s">
        <v>1</v>
      </c>
      <c r="D49" s="2" t="str" cm="1">
        <f t="array" ref="D49">Fuel_SourceData.Fuel_Scope1Scope3EmissionFactorsStationaryLiquid_Title()</f>
        <v>Fuel scope 1 and 3 emission factors - Stationary liquid fuels</v>
      </c>
      <c r="E49" s="154"/>
      <c r="F49" s="154"/>
      <c r="G49" s="154"/>
      <c r="H49" s="154"/>
      <c r="I49" s="154"/>
      <c r="J49" s="154"/>
      <c r="K49" s="154"/>
      <c r="L49" s="154"/>
    </row>
    <row r="50" spans="1:12" ht="20.100000000000001" customHeight="1" x14ac:dyDescent="0.2">
      <c r="A50" s="5" t="str">
        <f>HYPERLINK("#'Constants - Poultry'!A1", "Constants - Poultry")</f>
        <v>Constants - Poultry</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54"/>
      <c r="F50" s="154"/>
      <c r="G50" s="154"/>
      <c r="H50" s="154"/>
      <c r="I50" s="154"/>
      <c r="J50" s="154"/>
      <c r="K50" s="154"/>
      <c r="L50" s="154"/>
    </row>
    <row r="51" spans="1:12" ht="20.100000000000001" customHeight="1" x14ac:dyDescent="0.2">
      <c r="A51" s="5" t="str">
        <f>HYPERLINK("#'Constants - Common livestock'!A1", "Constants - Common Livestock")</f>
        <v>Constants - Common Livestock</v>
      </c>
      <c r="D51" s="17" t="str" cm="1">
        <f t="array" ref="D51">Fuel_SourceData.Fuel_Scope1Scope3EmissionFactorsStationaryLiquid_Source()</f>
        <v>Australian National Greenhouse Accounts Factors 2025 - Table 8</v>
      </c>
      <c r="E51" s="154"/>
      <c r="F51" s="154"/>
      <c r="G51" s="154"/>
      <c r="H51" s="154"/>
      <c r="I51" s="154"/>
      <c r="J51" s="154"/>
      <c r="K51" s="154"/>
      <c r="L51" s="154"/>
    </row>
    <row r="52" spans="1:12" ht="20.100000000000001" customHeight="1" x14ac:dyDescent="0.2">
      <c r="A52" s="5" t="str">
        <f>HYPERLINK("#'Constants - Electricity'!A1", "Constants - Electricity")</f>
        <v>Constants - Electricity</v>
      </c>
      <c r="D52" s="25" t="str" cm="1">
        <f t="array" ref="D52">"⚠️" &amp; Fuel_SourceData.Fuel_Scope1Scope3EmissionFactorsStationaryLiquid_Variation()</f>
        <v>⚠️VARIATION OF SOURCE DATA: 'NE' values returned as zero for calculations.</v>
      </c>
      <c r="E52" s="154"/>
      <c r="F52" s="154"/>
      <c r="G52" s="154"/>
      <c r="H52" s="154"/>
      <c r="I52" s="154"/>
      <c r="J52" s="154"/>
      <c r="K52" s="154"/>
      <c r="L52" s="154"/>
    </row>
    <row r="53" spans="1:12" ht="20.100000000000001" customHeight="1" x14ac:dyDescent="0.2">
      <c r="A53" s="5" t="str">
        <f>HYPERLINK("#'Constants - Fertiliser'!A1", "Constants - Fertiliser")</f>
        <v>Constants - Fertiliser</v>
      </c>
      <c r="D53" s="147" t="s">
        <v>640</v>
      </c>
      <c r="E53" s="181" t="s">
        <v>641</v>
      </c>
      <c r="F53" s="147" t="s">
        <v>642</v>
      </c>
      <c r="G53" s="181" t="s">
        <v>643</v>
      </c>
      <c r="H53" s="181" t="s">
        <v>644</v>
      </c>
      <c r="I53" s="181" t="s">
        <v>645</v>
      </c>
      <c r="J53" s="181" t="s">
        <v>646</v>
      </c>
      <c r="K53" s="181" t="s">
        <v>647</v>
      </c>
      <c r="L53" s="154"/>
    </row>
    <row r="54" spans="1:12" ht="20.100000000000001" customHeight="1" x14ac:dyDescent="0.2">
      <c r="A54" s="81" t="str">
        <f>HYPERLINK("#'Constants - Fuel'!A1", "Constants - Fuel")</f>
        <v>Constants - Fuel</v>
      </c>
      <c r="D54" s="182"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82" cm="1">
        <f t="array" ref="E54">Common_InputFunctions.Utility_DisplayArrayInTable(Fuel_SourceData.Fuel_Scope1Scope3EmissionFactorsStationaryLiquid_Data(), Table_Fuel_EFs_StationaryLiquid[[#Headers],[Fuel combusted]],0)</f>
        <v>38.799999999999997</v>
      </c>
      <c r="F54" s="182" t="str" cm="1">
        <f t="array" ref="F54">Common_InputFunctions.Utility_DisplayArrayInTable(Fuel_SourceData.Fuel_Scope1Scope3EmissionFactorsStationaryLiquid_Data(), Table_Fuel_EFs_StationaryLiquid[[#Headers],[Fuel combusted]],0)</f>
        <v>kl</v>
      </c>
      <c r="G54" s="182" cm="1">
        <f t="array" ref="G54">Common_InputFunctions.Utility_DisplayArrayInTable(Fuel_SourceData.Fuel_Scope1Scope3EmissionFactorsStationaryLiquid_Data(), Table_Fuel_EFs_StationaryLiquid[[#Headers],[Fuel combusted]],0)</f>
        <v>13.9</v>
      </c>
      <c r="H54" s="182" cm="1">
        <f t="array" ref="H54">Common_InputFunctions.Utility_DisplayArrayInTable(Fuel_SourceData.Fuel_Scope1Scope3EmissionFactorsStationaryLiquid_Data(), Table_Fuel_EFs_StationaryLiquid[[#Headers],[Fuel combusted]],0)</f>
        <v>0</v>
      </c>
      <c r="I54" s="182" cm="1">
        <f t="array" ref="I54">Common_InputFunctions.Utility_DisplayArrayInTable(Fuel_SourceData.Fuel_Scope1Scope3EmissionFactorsStationaryLiquid_Data(), Table_Fuel_EFs_StationaryLiquid[[#Headers],[Fuel combusted]],0)</f>
        <v>0</v>
      </c>
      <c r="J54" s="182" cm="1">
        <f t="array" ref="J54">Common_InputFunctions.Utility_DisplayArrayInTable(Fuel_SourceData.Fuel_Scope1Scope3EmissionFactorsStationaryLiquid_Data(), Table_Fuel_EFs_StationaryLiquid[[#Headers],[Fuel combusted]],0)</f>
        <v>13.9</v>
      </c>
      <c r="K54" s="182" cm="1">
        <f t="array" ref="K54">Common_InputFunctions.Utility_DisplayArrayInTable(Fuel_SourceData.Fuel_Scope1Scope3EmissionFactorsStationaryLiquid_Data(), Table_Fuel_EFs_StationaryLiquid[[#Headers],[Fuel combusted]],0)</f>
        <v>18</v>
      </c>
      <c r="L54" s="154"/>
    </row>
    <row r="55" spans="1:12" ht="20.100000000000001" customHeight="1" x14ac:dyDescent="0.2">
      <c r="A55" s="5" t="str">
        <f>HYPERLINK("#'Constants - Scope 3'!A1", "Constants - Scope 3")</f>
        <v>Constants - Scope 3</v>
      </c>
      <c r="D55" s="182" t="str" cm="1">
        <f t="array" ref="D55">Common_InputFunctions.Utility_DisplayArrayInTable(Fuel_SourceData.Fuel_Scope1Scope3EmissionFactorsStationaryLiquid_Data(), Table_Fuel_EFs_StationaryLiquid[[#Headers],[Fuel combusted]],0)</f>
        <v>Petroleum based greases</v>
      </c>
      <c r="E55" s="182" cm="1">
        <f t="array" ref="E55">Common_InputFunctions.Utility_DisplayArrayInTable(Fuel_SourceData.Fuel_Scope1Scope3EmissionFactorsStationaryLiquid_Data(), Table_Fuel_EFs_StationaryLiquid[[#Headers],[Fuel combusted]],0)</f>
        <v>38.799999999999997</v>
      </c>
      <c r="F55" s="182" t="str" cm="1">
        <f t="array" ref="F55">Common_InputFunctions.Utility_DisplayArrayInTable(Fuel_SourceData.Fuel_Scope1Scope3EmissionFactorsStationaryLiquid_Data(), Table_Fuel_EFs_StationaryLiquid[[#Headers],[Fuel combusted]],0)</f>
        <v>kl</v>
      </c>
      <c r="G55" s="182" cm="1">
        <f t="array" ref="G55">Common_InputFunctions.Utility_DisplayArrayInTable(Fuel_SourceData.Fuel_Scope1Scope3EmissionFactorsStationaryLiquid_Data(), Table_Fuel_EFs_StationaryLiquid[[#Headers],[Fuel combusted]],0)</f>
        <v>3.5</v>
      </c>
      <c r="H55" s="182" cm="1">
        <f t="array" ref="H55">Common_InputFunctions.Utility_DisplayArrayInTable(Fuel_SourceData.Fuel_Scope1Scope3EmissionFactorsStationaryLiquid_Data(), Table_Fuel_EFs_StationaryLiquid[[#Headers],[Fuel combusted]],0)</f>
        <v>0</v>
      </c>
      <c r="I55" s="182" cm="1">
        <f t="array" ref="I55">Common_InputFunctions.Utility_DisplayArrayInTable(Fuel_SourceData.Fuel_Scope1Scope3EmissionFactorsStationaryLiquid_Data(), Table_Fuel_EFs_StationaryLiquid[[#Headers],[Fuel combusted]],0)</f>
        <v>0</v>
      </c>
      <c r="J55" s="182" cm="1">
        <f t="array" ref="J55">Common_InputFunctions.Utility_DisplayArrayInTable(Fuel_SourceData.Fuel_Scope1Scope3EmissionFactorsStationaryLiquid_Data(), Table_Fuel_EFs_StationaryLiquid[[#Headers],[Fuel combusted]],0)</f>
        <v>3.5</v>
      </c>
      <c r="K55" s="182" cm="1">
        <f t="array" ref="K55">Common_InputFunctions.Utility_DisplayArrayInTable(Fuel_SourceData.Fuel_Scope1Scope3EmissionFactorsStationaryLiquid_Data(), Table_Fuel_EFs_StationaryLiquid[[#Headers],[Fuel combusted]],0)</f>
        <v>18</v>
      </c>
      <c r="L55" s="154"/>
    </row>
    <row r="56" spans="1:12" ht="20.100000000000001" customHeight="1" x14ac:dyDescent="0.2">
      <c r="A56" s="5" t="str">
        <f>HYPERLINK("#'Constants - Solid Waste'!A1", "Constants - Solid Waste")</f>
        <v>Constants - Solid Waste</v>
      </c>
      <c r="D56" s="182" t="str" cm="1">
        <f t="array" ref="D56">Common_InputFunctions.Utility_DisplayArrayInTable(Fuel_SourceData.Fuel_Scope1Scope3EmissionFactorsStationaryLiquid_Data(), Table_Fuel_EFs_StationaryLiquid[[#Headers],[Fuel combusted]],0)</f>
        <v>Crude oil including crude oil condensates</v>
      </c>
      <c r="E56" s="182" cm="1">
        <f t="array" ref="E56">Common_InputFunctions.Utility_DisplayArrayInTable(Fuel_SourceData.Fuel_Scope1Scope3EmissionFactorsStationaryLiquid_Data(), Table_Fuel_EFs_StationaryLiquid[[#Headers],[Fuel combusted]],0)</f>
        <v>45.3</v>
      </c>
      <c r="F56" s="182" t="str" cm="1">
        <f t="array" ref="F56">Common_InputFunctions.Utility_DisplayArrayInTable(Fuel_SourceData.Fuel_Scope1Scope3EmissionFactorsStationaryLiquid_Data(), Table_Fuel_EFs_StationaryLiquid[[#Headers],[Fuel combusted]],0)</f>
        <v>t</v>
      </c>
      <c r="G56" s="182" cm="1">
        <f t="array" ref="G56">Common_InputFunctions.Utility_DisplayArrayInTable(Fuel_SourceData.Fuel_Scope1Scope3EmissionFactorsStationaryLiquid_Data(), Table_Fuel_EFs_StationaryLiquid[[#Headers],[Fuel combusted]],0)</f>
        <v>69.599999999999994</v>
      </c>
      <c r="H56" s="182" cm="1">
        <f t="array" ref="H56">Common_InputFunctions.Utility_DisplayArrayInTable(Fuel_SourceData.Fuel_Scope1Scope3EmissionFactorsStationaryLiquid_Data(), Table_Fuel_EFs_StationaryLiquid[[#Headers],[Fuel combusted]],0)</f>
        <v>0.08</v>
      </c>
      <c r="I56" s="182" cm="1">
        <f t="array" ref="I56">Common_InputFunctions.Utility_DisplayArrayInTable(Fuel_SourceData.Fuel_Scope1Scope3EmissionFactorsStationaryLiquid_Data(), Table_Fuel_EFs_StationaryLiquid[[#Headers],[Fuel combusted]],0)</f>
        <v>0.2</v>
      </c>
      <c r="J56" s="182" cm="1">
        <f t="array" ref="J56">Common_InputFunctions.Utility_DisplayArrayInTable(Fuel_SourceData.Fuel_Scope1Scope3EmissionFactorsStationaryLiquid_Data(), Table_Fuel_EFs_StationaryLiquid[[#Headers],[Fuel combusted]],0)</f>
        <v>69.88</v>
      </c>
      <c r="K56" s="182" t="str" cm="1">
        <f t="array" ref="K56">Common_InputFunctions.Utility_DisplayArrayInTable(Fuel_SourceData.Fuel_Scope1Scope3EmissionFactorsStationaryLiquid_Data(), Table_Fuel_EFs_StationaryLiquid[[#Headers],[Fuel combusted]],0)</f>
        <v>NE</v>
      </c>
      <c r="L56" s="154"/>
    </row>
    <row r="57" spans="1:12" ht="20.100000000000001" customHeight="1" x14ac:dyDescent="0.2">
      <c r="A57" s="5" t="str">
        <f>HYPERLINK("#'Constants - Common'!A1", "Constants - Common")</f>
        <v>Constants - Common</v>
      </c>
      <c r="D57" s="182" t="str" cm="1">
        <f t="array" ref="D57">Common_InputFunctions.Utility_DisplayArrayInTable(Fuel_SourceData.Fuel_Scope1Scope3EmissionFactorsStationaryLiquid_Data(), Table_Fuel_EFs_StationaryLiquid[[#Headers],[Fuel combusted]],0)</f>
        <v>Other natural gas liquids</v>
      </c>
      <c r="E57" s="182" cm="1">
        <f t="array" ref="E57">Common_InputFunctions.Utility_DisplayArrayInTable(Fuel_SourceData.Fuel_Scope1Scope3EmissionFactorsStationaryLiquid_Data(), Table_Fuel_EFs_StationaryLiquid[[#Headers],[Fuel combusted]],0)</f>
        <v>46.5</v>
      </c>
      <c r="F57" s="182" t="str" cm="1">
        <f t="array" ref="F57">Common_InputFunctions.Utility_DisplayArrayInTable(Fuel_SourceData.Fuel_Scope1Scope3EmissionFactorsStationaryLiquid_Data(), Table_Fuel_EFs_StationaryLiquid[[#Headers],[Fuel combusted]],0)</f>
        <v>t</v>
      </c>
      <c r="G57" s="182" cm="1">
        <f t="array" ref="G57">Common_InputFunctions.Utility_DisplayArrayInTable(Fuel_SourceData.Fuel_Scope1Scope3EmissionFactorsStationaryLiquid_Data(), Table_Fuel_EFs_StationaryLiquid[[#Headers],[Fuel combusted]],0)</f>
        <v>61</v>
      </c>
      <c r="H57" s="182" cm="1">
        <f t="array" ref="H57">Common_InputFunctions.Utility_DisplayArrayInTable(Fuel_SourceData.Fuel_Scope1Scope3EmissionFactorsStationaryLiquid_Data(), Table_Fuel_EFs_StationaryLiquid[[#Headers],[Fuel combusted]],0)</f>
        <v>0.08</v>
      </c>
      <c r="I57" s="182" cm="1">
        <f t="array" ref="I57">Common_InputFunctions.Utility_DisplayArrayInTable(Fuel_SourceData.Fuel_Scope1Scope3EmissionFactorsStationaryLiquid_Data(), Table_Fuel_EFs_StationaryLiquid[[#Headers],[Fuel combusted]],0)</f>
        <v>0.2</v>
      </c>
      <c r="J57" s="182" cm="1">
        <f t="array" ref="J57">Common_InputFunctions.Utility_DisplayArrayInTable(Fuel_SourceData.Fuel_Scope1Scope3EmissionFactorsStationaryLiquid_Data(), Table_Fuel_EFs_StationaryLiquid[[#Headers],[Fuel combusted]],0)</f>
        <v>61.28</v>
      </c>
      <c r="K57" s="182" t="str" cm="1">
        <f t="array" ref="K57">Common_InputFunctions.Utility_DisplayArrayInTable(Fuel_SourceData.Fuel_Scope1Scope3EmissionFactorsStationaryLiquid_Data(), Table_Fuel_EFs_StationaryLiquid[[#Headers],[Fuel combusted]],0)</f>
        <v>NE</v>
      </c>
      <c r="L57" s="154"/>
    </row>
    <row r="58" spans="1:12" ht="20.100000000000001" customHeight="1" x14ac:dyDescent="0.2">
      <c r="D58" s="182"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82" cm="1">
        <f t="array" ref="E58">Common_InputFunctions.Utility_DisplayArrayInTable(Fuel_SourceData.Fuel_Scope1Scope3EmissionFactorsStationaryLiquid_Data(), Table_Fuel_EFs_StationaryLiquid[[#Headers],[Fuel combusted]],0)</f>
        <v>34.200000000000003</v>
      </c>
      <c r="F58" s="182" t="str" cm="1">
        <f t="array" ref="F58">Common_InputFunctions.Utility_DisplayArrayInTable(Fuel_SourceData.Fuel_Scope1Scope3EmissionFactorsStationaryLiquid_Data(), Table_Fuel_EFs_StationaryLiquid[[#Headers],[Fuel combusted]],0)</f>
        <v>kL</v>
      </c>
      <c r="G58" s="182" cm="1">
        <f t="array" ref="G58">Common_InputFunctions.Utility_DisplayArrayInTable(Fuel_SourceData.Fuel_Scope1Scope3EmissionFactorsStationaryLiquid_Data(), Table_Fuel_EFs_StationaryLiquid[[#Headers],[Fuel combusted]],0)</f>
        <v>67.400000000000006</v>
      </c>
      <c r="H58" s="182" cm="1">
        <f t="array" ref="H58">Common_InputFunctions.Utility_DisplayArrayInTable(Fuel_SourceData.Fuel_Scope1Scope3EmissionFactorsStationaryLiquid_Data(), Table_Fuel_EFs_StationaryLiquid[[#Headers],[Fuel combusted]],0)</f>
        <v>0.2</v>
      </c>
      <c r="I58" s="182" cm="1">
        <f t="array" ref="I58">Common_InputFunctions.Utility_DisplayArrayInTable(Fuel_SourceData.Fuel_Scope1Scope3EmissionFactorsStationaryLiquid_Data(), Table_Fuel_EFs_StationaryLiquid[[#Headers],[Fuel combusted]],0)</f>
        <v>0.2</v>
      </c>
      <c r="J58" s="182" cm="1">
        <f t="array" ref="J58">Common_InputFunctions.Utility_DisplayArrayInTable(Fuel_SourceData.Fuel_Scope1Scope3EmissionFactorsStationaryLiquid_Data(), Table_Fuel_EFs_StationaryLiquid[[#Headers],[Fuel combusted]],0)</f>
        <v>67.8</v>
      </c>
      <c r="K58" s="182" cm="1">
        <f t="array" ref="K58">Common_InputFunctions.Utility_DisplayArrayInTable(Fuel_SourceData.Fuel_Scope1Scope3EmissionFactorsStationaryLiquid_Data(), Table_Fuel_EFs_StationaryLiquid[[#Headers],[Fuel combusted]],0)</f>
        <v>17.2</v>
      </c>
      <c r="L58" s="154"/>
    </row>
    <row r="59" spans="1:12" ht="20.100000000000001" customHeight="1" x14ac:dyDescent="0.2">
      <c r="D59" s="182" t="str" cm="1">
        <f t="array" ref="D59">Common_InputFunctions.Utility_DisplayArrayInTable(Fuel_SourceData.Fuel_Scope1Scope3EmissionFactorsStationaryLiquid_Data(), Table_Fuel_EFs_StationaryLiquid[[#Headers],[Fuel combusted]],0)</f>
        <v>Aviation gasoline</v>
      </c>
      <c r="E59" s="182" cm="1">
        <f t="array" ref="E59">Common_InputFunctions.Utility_DisplayArrayInTable(Fuel_SourceData.Fuel_Scope1Scope3EmissionFactorsStationaryLiquid_Data(), Table_Fuel_EFs_StationaryLiquid[[#Headers],[Fuel combusted]],0)</f>
        <v>33.1</v>
      </c>
      <c r="F59" s="182" t="str" cm="1">
        <f t="array" ref="F59">Common_InputFunctions.Utility_DisplayArrayInTable(Fuel_SourceData.Fuel_Scope1Scope3EmissionFactorsStationaryLiquid_Data(), Table_Fuel_EFs_StationaryLiquid[[#Headers],[Fuel combusted]],0)</f>
        <v>kL</v>
      </c>
      <c r="G59" s="182" cm="1">
        <f t="array" ref="G59">Common_InputFunctions.Utility_DisplayArrayInTable(Fuel_SourceData.Fuel_Scope1Scope3EmissionFactorsStationaryLiquid_Data(), Table_Fuel_EFs_StationaryLiquid[[#Headers],[Fuel combusted]],0)</f>
        <v>67</v>
      </c>
      <c r="H59" s="182" cm="1">
        <f t="array" ref="H59">Common_InputFunctions.Utility_DisplayArrayInTable(Fuel_SourceData.Fuel_Scope1Scope3EmissionFactorsStationaryLiquid_Data(), Table_Fuel_EFs_StationaryLiquid[[#Headers],[Fuel combusted]],0)</f>
        <v>0.2</v>
      </c>
      <c r="I59" s="182" cm="1">
        <f t="array" ref="I59">Common_InputFunctions.Utility_DisplayArrayInTable(Fuel_SourceData.Fuel_Scope1Scope3EmissionFactorsStationaryLiquid_Data(), Table_Fuel_EFs_StationaryLiquid[[#Headers],[Fuel combusted]],0)</f>
        <v>0.2</v>
      </c>
      <c r="J59" s="182" cm="1">
        <f t="array" ref="J59">Common_InputFunctions.Utility_DisplayArrayInTable(Fuel_SourceData.Fuel_Scope1Scope3EmissionFactorsStationaryLiquid_Data(), Table_Fuel_EFs_StationaryLiquid[[#Headers],[Fuel combusted]],0)</f>
        <v>67.400000000000006</v>
      </c>
      <c r="K59" s="182" cm="1">
        <f t="array" ref="K59">Common_InputFunctions.Utility_DisplayArrayInTable(Fuel_SourceData.Fuel_Scope1Scope3EmissionFactorsStationaryLiquid_Data(), Table_Fuel_EFs_StationaryLiquid[[#Headers],[Fuel combusted]],0)</f>
        <v>18</v>
      </c>
      <c r="L59" s="154"/>
    </row>
    <row r="60" spans="1:12" ht="20.100000000000001" customHeight="1" x14ac:dyDescent="0.2">
      <c r="D60" s="182" t="str" cm="1">
        <f t="array" ref="D60">Common_InputFunctions.Utility_DisplayArrayInTable(Fuel_SourceData.Fuel_Scope1Scope3EmissionFactorsStationaryLiquid_Data(), Table_Fuel_EFs_StationaryLiquid[[#Headers],[Fuel combusted]],0)</f>
        <v>Kerosene (other than for use as fuel in an aircraft)</v>
      </c>
      <c r="E60" s="182" cm="1">
        <f t="array" ref="E60">Common_InputFunctions.Utility_DisplayArrayInTable(Fuel_SourceData.Fuel_Scope1Scope3EmissionFactorsStationaryLiquid_Data(), Table_Fuel_EFs_StationaryLiquid[[#Headers],[Fuel combusted]],0)</f>
        <v>37.5</v>
      </c>
      <c r="F60" s="182" t="str" cm="1">
        <f t="array" ref="F60">Common_InputFunctions.Utility_DisplayArrayInTable(Fuel_SourceData.Fuel_Scope1Scope3EmissionFactorsStationaryLiquid_Data(), Table_Fuel_EFs_StationaryLiquid[[#Headers],[Fuel combusted]],0)</f>
        <v>kL</v>
      </c>
      <c r="G60" s="182" cm="1">
        <f t="array" ref="G60">Common_InputFunctions.Utility_DisplayArrayInTable(Fuel_SourceData.Fuel_Scope1Scope3EmissionFactorsStationaryLiquid_Data(), Table_Fuel_EFs_StationaryLiquid[[#Headers],[Fuel combusted]],0)</f>
        <v>68.900000000000006</v>
      </c>
      <c r="H60" s="182" cm="1">
        <f t="array" ref="H60">Common_InputFunctions.Utility_DisplayArrayInTable(Fuel_SourceData.Fuel_Scope1Scope3EmissionFactorsStationaryLiquid_Data(), Table_Fuel_EFs_StationaryLiquid[[#Headers],[Fuel combusted]],0)</f>
        <v>0.01</v>
      </c>
      <c r="I60" s="182" cm="1">
        <f t="array" ref="I60">Common_InputFunctions.Utility_DisplayArrayInTable(Fuel_SourceData.Fuel_Scope1Scope3EmissionFactorsStationaryLiquid_Data(), Table_Fuel_EFs_StationaryLiquid[[#Headers],[Fuel combusted]],0)</f>
        <v>0.2</v>
      </c>
      <c r="J60" s="182" cm="1">
        <f t="array" ref="J60">Common_InputFunctions.Utility_DisplayArrayInTable(Fuel_SourceData.Fuel_Scope1Scope3EmissionFactorsStationaryLiquid_Data(), Table_Fuel_EFs_StationaryLiquid[[#Headers],[Fuel combusted]],0)</f>
        <v>69.11</v>
      </c>
      <c r="K60" s="182" cm="1">
        <f t="array" ref="K60">Common_InputFunctions.Utility_DisplayArrayInTable(Fuel_SourceData.Fuel_Scope1Scope3EmissionFactorsStationaryLiquid_Data(), Table_Fuel_EFs_StationaryLiquid[[#Headers],[Fuel combusted]],0)</f>
        <v>18</v>
      </c>
      <c r="L60" s="154"/>
    </row>
    <row r="61" spans="1:12" ht="20.100000000000001" customHeight="1" x14ac:dyDescent="0.2">
      <c r="D61" s="182" t="str" cm="1">
        <f t="array" ref="D61">Common_InputFunctions.Utility_DisplayArrayInTable(Fuel_SourceData.Fuel_Scope1Scope3EmissionFactorsStationaryLiquid_Data(), Table_Fuel_EFs_StationaryLiquid[[#Headers],[Fuel combusted]],0)</f>
        <v>Aviation turbine fuel / kerosene</v>
      </c>
      <c r="E61" s="182" cm="1">
        <f t="array" ref="E61">Common_InputFunctions.Utility_DisplayArrayInTable(Fuel_SourceData.Fuel_Scope1Scope3EmissionFactorsStationaryLiquid_Data(), Table_Fuel_EFs_StationaryLiquid[[#Headers],[Fuel combusted]],0)</f>
        <v>36.799999999999997</v>
      </c>
      <c r="F61" s="182" t="str" cm="1">
        <f t="array" ref="F61">Common_InputFunctions.Utility_DisplayArrayInTable(Fuel_SourceData.Fuel_Scope1Scope3EmissionFactorsStationaryLiquid_Data(), Table_Fuel_EFs_StationaryLiquid[[#Headers],[Fuel combusted]],0)</f>
        <v>kL</v>
      </c>
      <c r="G61" s="182" cm="1">
        <f t="array" ref="G61">Common_InputFunctions.Utility_DisplayArrayInTable(Fuel_SourceData.Fuel_Scope1Scope3EmissionFactorsStationaryLiquid_Data(), Table_Fuel_EFs_StationaryLiquid[[#Headers],[Fuel combusted]],0)</f>
        <v>69.599999999999994</v>
      </c>
      <c r="H61" s="182" cm="1">
        <f t="array" ref="H61">Common_InputFunctions.Utility_DisplayArrayInTable(Fuel_SourceData.Fuel_Scope1Scope3EmissionFactorsStationaryLiquid_Data(), Table_Fuel_EFs_StationaryLiquid[[#Headers],[Fuel combusted]],0)</f>
        <v>0.02</v>
      </c>
      <c r="I61" s="182" cm="1">
        <f t="array" ref="I61">Common_InputFunctions.Utility_DisplayArrayInTable(Fuel_SourceData.Fuel_Scope1Scope3EmissionFactorsStationaryLiquid_Data(), Table_Fuel_EFs_StationaryLiquid[[#Headers],[Fuel combusted]],0)</f>
        <v>0.2</v>
      </c>
      <c r="J61" s="182" cm="1">
        <f t="array" ref="J61">Common_InputFunctions.Utility_DisplayArrayInTable(Fuel_SourceData.Fuel_Scope1Scope3EmissionFactorsStationaryLiquid_Data(), Table_Fuel_EFs_StationaryLiquid[[#Headers],[Fuel combusted]],0)</f>
        <v>69.819999999999993</v>
      </c>
      <c r="K61" s="182" cm="1">
        <f t="array" ref="K61">Common_InputFunctions.Utility_DisplayArrayInTable(Fuel_SourceData.Fuel_Scope1Scope3EmissionFactorsStationaryLiquid_Data(), Table_Fuel_EFs_StationaryLiquid[[#Headers],[Fuel combusted]],0)</f>
        <v>18</v>
      </c>
      <c r="L61" s="154"/>
    </row>
    <row r="62" spans="1:12" ht="20.100000000000001" customHeight="1" x14ac:dyDescent="0.2">
      <c r="D62" s="182" t="str" cm="1">
        <f t="array" ref="D62">Common_InputFunctions.Utility_DisplayArrayInTable(Fuel_SourceData.Fuel_Scope1Scope3EmissionFactorsStationaryLiquid_Data(), Table_Fuel_EFs_StationaryLiquid[[#Headers],[Fuel combusted]],0)</f>
        <v>Heating oil</v>
      </c>
      <c r="E62" s="182" cm="1">
        <f t="array" ref="E62">Common_InputFunctions.Utility_DisplayArrayInTable(Fuel_SourceData.Fuel_Scope1Scope3EmissionFactorsStationaryLiquid_Data(), Table_Fuel_EFs_StationaryLiquid[[#Headers],[Fuel combusted]],0)</f>
        <v>37.299999999999997</v>
      </c>
      <c r="F62" s="182" t="str" cm="1">
        <f t="array" ref="F62">Common_InputFunctions.Utility_DisplayArrayInTable(Fuel_SourceData.Fuel_Scope1Scope3EmissionFactorsStationaryLiquid_Data(), Table_Fuel_EFs_StationaryLiquid[[#Headers],[Fuel combusted]],0)</f>
        <v>kL</v>
      </c>
      <c r="G62" s="182" cm="1">
        <f t="array" ref="G62">Common_InputFunctions.Utility_DisplayArrayInTable(Fuel_SourceData.Fuel_Scope1Scope3EmissionFactorsStationaryLiquid_Data(), Table_Fuel_EFs_StationaryLiquid[[#Headers],[Fuel combusted]],0)</f>
        <v>69.5</v>
      </c>
      <c r="H62" s="182" cm="1">
        <f t="array" ref="H62">Common_InputFunctions.Utility_DisplayArrayInTable(Fuel_SourceData.Fuel_Scope1Scope3EmissionFactorsStationaryLiquid_Data(), Table_Fuel_EFs_StationaryLiquid[[#Headers],[Fuel combusted]],0)</f>
        <v>0.03</v>
      </c>
      <c r="I62" s="182" cm="1">
        <f t="array" ref="I62">Common_InputFunctions.Utility_DisplayArrayInTable(Fuel_SourceData.Fuel_Scope1Scope3EmissionFactorsStationaryLiquid_Data(), Table_Fuel_EFs_StationaryLiquid[[#Headers],[Fuel combusted]],0)</f>
        <v>0.2</v>
      </c>
      <c r="J62" s="182" cm="1">
        <f t="array" ref="J62">Common_InputFunctions.Utility_DisplayArrayInTable(Fuel_SourceData.Fuel_Scope1Scope3EmissionFactorsStationaryLiquid_Data(), Table_Fuel_EFs_StationaryLiquid[[#Headers],[Fuel combusted]],0)</f>
        <v>69.73</v>
      </c>
      <c r="K62" s="182" cm="1">
        <f t="array" ref="K62">Common_InputFunctions.Utility_DisplayArrayInTable(Fuel_SourceData.Fuel_Scope1Scope3EmissionFactorsStationaryLiquid_Data(), Table_Fuel_EFs_StationaryLiquid[[#Headers],[Fuel combusted]],0)</f>
        <v>18</v>
      </c>
      <c r="L62" s="154"/>
    </row>
    <row r="63" spans="1:12" ht="20.100000000000001" customHeight="1" x14ac:dyDescent="0.2">
      <c r="D63" s="182" t="str" cm="1">
        <f t="array" ref="D63">Common_InputFunctions.Utility_DisplayArrayInTable(Fuel_SourceData.Fuel_Scope1Scope3EmissionFactorsStationaryLiquid_Data(), Table_Fuel_EFs_StationaryLiquid[[#Headers],[Fuel combusted]],0)</f>
        <v>Diesel oil</v>
      </c>
      <c r="E63" s="182" cm="1">
        <f t="array" ref="E63">Common_InputFunctions.Utility_DisplayArrayInTable(Fuel_SourceData.Fuel_Scope1Scope3EmissionFactorsStationaryLiquid_Data(), Table_Fuel_EFs_StationaryLiquid[[#Headers],[Fuel combusted]],0)</f>
        <v>38.6</v>
      </c>
      <c r="F63" s="182" t="str" cm="1">
        <f t="array" ref="F63">Common_InputFunctions.Utility_DisplayArrayInTable(Fuel_SourceData.Fuel_Scope1Scope3EmissionFactorsStationaryLiquid_Data(), Table_Fuel_EFs_StationaryLiquid[[#Headers],[Fuel combusted]],0)</f>
        <v>kL</v>
      </c>
      <c r="G63" s="182" cm="1">
        <f t="array" ref="G63">Common_InputFunctions.Utility_DisplayArrayInTable(Fuel_SourceData.Fuel_Scope1Scope3EmissionFactorsStationaryLiquid_Data(), Table_Fuel_EFs_StationaryLiquid[[#Headers],[Fuel combusted]],0)</f>
        <v>69.900000000000006</v>
      </c>
      <c r="H63" s="182" cm="1">
        <f t="array" ref="H63">Common_InputFunctions.Utility_DisplayArrayInTable(Fuel_SourceData.Fuel_Scope1Scope3EmissionFactorsStationaryLiquid_Data(), Table_Fuel_EFs_StationaryLiquid[[#Headers],[Fuel combusted]],0)</f>
        <v>0.1</v>
      </c>
      <c r="I63" s="182" cm="1">
        <f t="array" ref="I63">Common_InputFunctions.Utility_DisplayArrayInTable(Fuel_SourceData.Fuel_Scope1Scope3EmissionFactorsStationaryLiquid_Data(), Table_Fuel_EFs_StationaryLiquid[[#Headers],[Fuel combusted]],0)</f>
        <v>0.2</v>
      </c>
      <c r="J63" s="182" cm="1">
        <f t="array" ref="J63">Common_InputFunctions.Utility_DisplayArrayInTable(Fuel_SourceData.Fuel_Scope1Scope3EmissionFactorsStationaryLiquid_Data(), Table_Fuel_EFs_StationaryLiquid[[#Headers],[Fuel combusted]],0)</f>
        <v>70.2</v>
      </c>
      <c r="K63" s="182" cm="1">
        <f t="array" ref="K63">Common_InputFunctions.Utility_DisplayArrayInTable(Fuel_SourceData.Fuel_Scope1Scope3EmissionFactorsStationaryLiquid_Data(), Table_Fuel_EFs_StationaryLiquid[[#Headers],[Fuel combusted]],0)</f>
        <v>17.3</v>
      </c>
      <c r="L63" s="154"/>
    </row>
    <row r="64" spans="1:12" ht="20.100000000000001" customHeight="1" x14ac:dyDescent="0.2">
      <c r="D64" s="182" t="str" cm="1">
        <f t="array" ref="D64">Common_InputFunctions.Utility_DisplayArrayInTable(Fuel_SourceData.Fuel_Scope1Scope3EmissionFactorsStationaryLiquid_Data(), Table_Fuel_EFs_StationaryLiquid[[#Headers],[Fuel combusted]],0)</f>
        <v>Fuel oil</v>
      </c>
      <c r="E64" s="182" cm="1">
        <f t="array" ref="E64">Common_InputFunctions.Utility_DisplayArrayInTable(Fuel_SourceData.Fuel_Scope1Scope3EmissionFactorsStationaryLiquid_Data(), Table_Fuel_EFs_StationaryLiquid[[#Headers],[Fuel combusted]],0)</f>
        <v>39.700000000000003</v>
      </c>
      <c r="F64" s="182" t="str" cm="1">
        <f t="array" ref="F64">Common_InputFunctions.Utility_DisplayArrayInTable(Fuel_SourceData.Fuel_Scope1Scope3EmissionFactorsStationaryLiquid_Data(), Table_Fuel_EFs_StationaryLiquid[[#Headers],[Fuel combusted]],0)</f>
        <v>kL</v>
      </c>
      <c r="G64" s="182" cm="1">
        <f t="array" ref="G64">Common_InputFunctions.Utility_DisplayArrayInTable(Fuel_SourceData.Fuel_Scope1Scope3EmissionFactorsStationaryLiquid_Data(), Table_Fuel_EFs_StationaryLiquid[[#Headers],[Fuel combusted]],0)</f>
        <v>73.599999999999994</v>
      </c>
      <c r="H64" s="182" cm="1">
        <f t="array" ref="H64">Common_InputFunctions.Utility_DisplayArrayInTable(Fuel_SourceData.Fuel_Scope1Scope3EmissionFactorsStationaryLiquid_Data(), Table_Fuel_EFs_StationaryLiquid[[#Headers],[Fuel combusted]],0)</f>
        <v>0.04</v>
      </c>
      <c r="I64" s="182" cm="1">
        <f t="array" ref="I64">Common_InputFunctions.Utility_DisplayArrayInTable(Fuel_SourceData.Fuel_Scope1Scope3EmissionFactorsStationaryLiquid_Data(), Table_Fuel_EFs_StationaryLiquid[[#Headers],[Fuel combusted]],0)</f>
        <v>0.2</v>
      </c>
      <c r="J64" s="182" cm="1">
        <f t="array" ref="J64">Common_InputFunctions.Utility_DisplayArrayInTable(Fuel_SourceData.Fuel_Scope1Scope3EmissionFactorsStationaryLiquid_Data(), Table_Fuel_EFs_StationaryLiquid[[#Headers],[Fuel combusted]],0)</f>
        <v>73.84</v>
      </c>
      <c r="K64" s="182" cm="1">
        <f t="array" ref="K64">Common_InputFunctions.Utility_DisplayArrayInTable(Fuel_SourceData.Fuel_Scope1Scope3EmissionFactorsStationaryLiquid_Data(), Table_Fuel_EFs_StationaryLiquid[[#Headers],[Fuel combusted]],0)</f>
        <v>18</v>
      </c>
      <c r="L64" s="154"/>
    </row>
    <row r="65" spans="1:13" ht="20.100000000000001" customHeight="1" x14ac:dyDescent="0.2">
      <c r="D65" s="182" t="str" cm="1">
        <f t="array" ref="D65">Common_InputFunctions.Utility_DisplayArrayInTable(Fuel_SourceData.Fuel_Scope1Scope3EmissionFactorsStationaryLiquid_Data(), Table_Fuel_EFs_StationaryLiquid[[#Headers],[Fuel combusted]],0)</f>
        <v>Liquefied aromatic hydrocarbons</v>
      </c>
      <c r="E65" s="182" cm="1">
        <f t="array" ref="E65">Common_InputFunctions.Utility_DisplayArrayInTable(Fuel_SourceData.Fuel_Scope1Scope3EmissionFactorsStationaryLiquid_Data(), Table_Fuel_EFs_StationaryLiquid[[#Headers],[Fuel combusted]],0)</f>
        <v>34.4</v>
      </c>
      <c r="F65" s="182" t="str" cm="1">
        <f t="array" ref="F65">Common_InputFunctions.Utility_DisplayArrayInTable(Fuel_SourceData.Fuel_Scope1Scope3EmissionFactorsStationaryLiquid_Data(), Table_Fuel_EFs_StationaryLiquid[[#Headers],[Fuel combusted]],0)</f>
        <v>kL</v>
      </c>
      <c r="G65" s="182" cm="1">
        <f t="array" ref="G65">Common_InputFunctions.Utility_DisplayArrayInTable(Fuel_SourceData.Fuel_Scope1Scope3EmissionFactorsStationaryLiquid_Data(), Table_Fuel_EFs_StationaryLiquid[[#Headers],[Fuel combusted]],0)</f>
        <v>69.7</v>
      </c>
      <c r="H65" s="182" cm="1">
        <f t="array" ref="H65">Common_InputFunctions.Utility_DisplayArrayInTable(Fuel_SourceData.Fuel_Scope1Scope3EmissionFactorsStationaryLiquid_Data(), Table_Fuel_EFs_StationaryLiquid[[#Headers],[Fuel combusted]],0)</f>
        <v>0.03</v>
      </c>
      <c r="I65" s="182" cm="1">
        <f t="array" ref="I65">Common_InputFunctions.Utility_DisplayArrayInTable(Fuel_SourceData.Fuel_Scope1Scope3EmissionFactorsStationaryLiquid_Data(), Table_Fuel_EFs_StationaryLiquid[[#Headers],[Fuel combusted]],0)</f>
        <v>0.2</v>
      </c>
      <c r="J65" s="182" cm="1">
        <f t="array" ref="J65">Common_InputFunctions.Utility_DisplayArrayInTable(Fuel_SourceData.Fuel_Scope1Scope3EmissionFactorsStationaryLiquid_Data(), Table_Fuel_EFs_StationaryLiquid[[#Headers],[Fuel combusted]],0)</f>
        <v>69.930000000000007</v>
      </c>
      <c r="K65" s="182" cm="1">
        <f t="array" ref="K65">Common_InputFunctions.Utility_DisplayArrayInTable(Fuel_SourceData.Fuel_Scope1Scope3EmissionFactorsStationaryLiquid_Data(), Table_Fuel_EFs_StationaryLiquid[[#Headers],[Fuel combusted]],0)</f>
        <v>18</v>
      </c>
      <c r="L65" s="154"/>
    </row>
    <row r="66" spans="1:13" ht="20.100000000000001" customHeight="1" x14ac:dyDescent="0.2">
      <c r="D66" s="182" t="str" cm="1">
        <f t="array" ref="D66">Common_InputFunctions.Utility_DisplayArrayInTable(Fuel_SourceData.Fuel_Scope1Scope3EmissionFactorsStationaryLiquid_Data(), Table_Fuel_EFs_StationaryLiquid[[#Headers],[Fuel combusted]],0)</f>
        <v>Solvents: mineral turpentine or white spirits</v>
      </c>
      <c r="E66" s="182" cm="1">
        <f t="array" ref="E66">Common_InputFunctions.Utility_DisplayArrayInTable(Fuel_SourceData.Fuel_Scope1Scope3EmissionFactorsStationaryLiquid_Data(), Table_Fuel_EFs_StationaryLiquid[[#Headers],[Fuel combusted]],0)</f>
        <v>34.4</v>
      </c>
      <c r="F66" s="182" t="str" cm="1">
        <f t="array" ref="F66">Common_InputFunctions.Utility_DisplayArrayInTable(Fuel_SourceData.Fuel_Scope1Scope3EmissionFactorsStationaryLiquid_Data(), Table_Fuel_EFs_StationaryLiquid[[#Headers],[Fuel combusted]],0)</f>
        <v>kL</v>
      </c>
      <c r="G66" s="182" cm="1">
        <f t="array" ref="G66">Common_InputFunctions.Utility_DisplayArrayInTable(Fuel_SourceData.Fuel_Scope1Scope3EmissionFactorsStationaryLiquid_Data(), Table_Fuel_EFs_StationaryLiquid[[#Headers],[Fuel combusted]],0)</f>
        <v>69.7</v>
      </c>
      <c r="H66" s="182" cm="1">
        <f t="array" ref="H66">Common_InputFunctions.Utility_DisplayArrayInTable(Fuel_SourceData.Fuel_Scope1Scope3EmissionFactorsStationaryLiquid_Data(), Table_Fuel_EFs_StationaryLiquid[[#Headers],[Fuel combusted]],0)</f>
        <v>0.03</v>
      </c>
      <c r="I66" s="182" cm="1">
        <f t="array" ref="I66">Common_InputFunctions.Utility_DisplayArrayInTable(Fuel_SourceData.Fuel_Scope1Scope3EmissionFactorsStationaryLiquid_Data(), Table_Fuel_EFs_StationaryLiquid[[#Headers],[Fuel combusted]],0)</f>
        <v>0.2</v>
      </c>
      <c r="J66" s="182" cm="1">
        <f t="array" ref="J66">Common_InputFunctions.Utility_DisplayArrayInTable(Fuel_SourceData.Fuel_Scope1Scope3EmissionFactorsStationaryLiquid_Data(), Table_Fuel_EFs_StationaryLiquid[[#Headers],[Fuel combusted]],0)</f>
        <v>69.930000000000007</v>
      </c>
      <c r="K66" s="182" cm="1">
        <f t="array" ref="K66">Common_InputFunctions.Utility_DisplayArrayInTable(Fuel_SourceData.Fuel_Scope1Scope3EmissionFactorsStationaryLiquid_Data(), Table_Fuel_EFs_StationaryLiquid[[#Headers],[Fuel combusted]],0)</f>
        <v>18</v>
      </c>
      <c r="L66" s="154"/>
    </row>
    <row r="67" spans="1:13" ht="20.100000000000001" customHeight="1" x14ac:dyDescent="0.2">
      <c r="D67" s="182" t="str" cm="1">
        <f t="array" ref="D67">Common_InputFunctions.Utility_DisplayArrayInTable(Fuel_SourceData.Fuel_Scope1Scope3EmissionFactorsStationaryLiquid_Data(), Table_Fuel_EFs_StationaryLiquid[[#Headers],[Fuel combusted]],0)</f>
        <v>Liquefied petroleum gas (LPG)</v>
      </c>
      <c r="E67" s="182" cm="1">
        <f t="array" ref="E67">Common_InputFunctions.Utility_DisplayArrayInTable(Fuel_SourceData.Fuel_Scope1Scope3EmissionFactorsStationaryLiquid_Data(), Table_Fuel_EFs_StationaryLiquid[[#Headers],[Fuel combusted]],0)</f>
        <v>25.7</v>
      </c>
      <c r="F67" s="182" t="str" cm="1">
        <f t="array" ref="F67">Common_InputFunctions.Utility_DisplayArrayInTable(Fuel_SourceData.Fuel_Scope1Scope3EmissionFactorsStationaryLiquid_Data(), Table_Fuel_EFs_StationaryLiquid[[#Headers],[Fuel combusted]],0)</f>
        <v>kL</v>
      </c>
      <c r="G67" s="182" cm="1">
        <f t="array" ref="G67">Common_InputFunctions.Utility_DisplayArrayInTable(Fuel_SourceData.Fuel_Scope1Scope3EmissionFactorsStationaryLiquid_Data(), Table_Fuel_EFs_StationaryLiquid[[#Headers],[Fuel combusted]],0)</f>
        <v>60.2</v>
      </c>
      <c r="H67" s="182" cm="1">
        <f t="array" ref="H67">Common_InputFunctions.Utility_DisplayArrayInTable(Fuel_SourceData.Fuel_Scope1Scope3EmissionFactorsStationaryLiquid_Data(), Table_Fuel_EFs_StationaryLiquid[[#Headers],[Fuel combusted]],0)</f>
        <v>0.2</v>
      </c>
      <c r="I67" s="182" cm="1">
        <f t="array" ref="I67">Common_InputFunctions.Utility_DisplayArrayInTable(Fuel_SourceData.Fuel_Scope1Scope3EmissionFactorsStationaryLiquid_Data(), Table_Fuel_EFs_StationaryLiquid[[#Headers],[Fuel combusted]],0)</f>
        <v>0.2</v>
      </c>
      <c r="J67" s="182" cm="1">
        <f t="array" ref="J67">Common_InputFunctions.Utility_DisplayArrayInTable(Fuel_SourceData.Fuel_Scope1Scope3EmissionFactorsStationaryLiquid_Data(), Table_Fuel_EFs_StationaryLiquid[[#Headers],[Fuel combusted]],0)</f>
        <v>60.6</v>
      </c>
      <c r="K67" s="182" cm="1">
        <f t="array" ref="K67">Common_InputFunctions.Utility_DisplayArrayInTable(Fuel_SourceData.Fuel_Scope1Scope3EmissionFactorsStationaryLiquid_Data(), Table_Fuel_EFs_StationaryLiquid[[#Headers],[Fuel combusted]],0)</f>
        <v>20.2</v>
      </c>
      <c r="L67" s="154"/>
    </row>
    <row r="68" spans="1:13" ht="20.100000000000001" customHeight="1" x14ac:dyDescent="0.2">
      <c r="A68" s="79" t="str">
        <f>HYPERLINK("#A1", "▲ Back to top")</f>
        <v>▲ Back to top</v>
      </c>
      <c r="D68" s="182" t="str" cm="1">
        <f t="array" ref="D68">Common_InputFunctions.Utility_DisplayArrayInTable(Fuel_SourceData.Fuel_Scope1Scope3EmissionFactorsStationaryLiquid_Data(), Table_Fuel_EFs_StationaryLiquid[[#Headers],[Fuel combusted]],0)</f>
        <v>Naphtha</v>
      </c>
      <c r="E68" s="182" cm="1">
        <f t="array" ref="E68">Common_InputFunctions.Utility_DisplayArrayInTable(Fuel_SourceData.Fuel_Scope1Scope3EmissionFactorsStationaryLiquid_Data(), Table_Fuel_EFs_StationaryLiquid[[#Headers],[Fuel combusted]],0)</f>
        <v>31.4</v>
      </c>
      <c r="F68" s="182" t="str" cm="1">
        <f t="array" ref="F68">Common_InputFunctions.Utility_DisplayArrayInTable(Fuel_SourceData.Fuel_Scope1Scope3EmissionFactorsStationaryLiquid_Data(), Table_Fuel_EFs_StationaryLiquid[[#Headers],[Fuel combusted]],0)</f>
        <v>kL</v>
      </c>
      <c r="G68" s="182" cm="1">
        <f t="array" ref="G68">Common_InputFunctions.Utility_DisplayArrayInTable(Fuel_SourceData.Fuel_Scope1Scope3EmissionFactorsStationaryLiquid_Data(), Table_Fuel_EFs_StationaryLiquid[[#Headers],[Fuel combusted]],0)</f>
        <v>69.8</v>
      </c>
      <c r="H68" s="182" cm="1">
        <f t="array" ref="H68">Common_InputFunctions.Utility_DisplayArrayInTable(Fuel_SourceData.Fuel_Scope1Scope3EmissionFactorsStationaryLiquid_Data(), Table_Fuel_EFs_StationaryLiquid[[#Headers],[Fuel combusted]],0)</f>
        <v>0.01</v>
      </c>
      <c r="I68" s="182" cm="1">
        <f t="array" ref="I68">Common_InputFunctions.Utility_DisplayArrayInTable(Fuel_SourceData.Fuel_Scope1Scope3EmissionFactorsStationaryLiquid_Data(), Table_Fuel_EFs_StationaryLiquid[[#Headers],[Fuel combusted]],0)</f>
        <v>0.01</v>
      </c>
      <c r="J68" s="182" cm="1">
        <f t="array" ref="J68">Common_InputFunctions.Utility_DisplayArrayInTable(Fuel_SourceData.Fuel_Scope1Scope3EmissionFactorsStationaryLiquid_Data(), Table_Fuel_EFs_StationaryLiquid[[#Headers],[Fuel combusted]],0)</f>
        <v>69.819999999999993</v>
      </c>
      <c r="K68" s="182" cm="1">
        <f t="array" ref="K68">Common_InputFunctions.Utility_DisplayArrayInTable(Fuel_SourceData.Fuel_Scope1Scope3EmissionFactorsStationaryLiquid_Data(), Table_Fuel_EFs_StationaryLiquid[[#Headers],[Fuel combusted]],0)</f>
        <v>18</v>
      </c>
      <c r="L68" s="154"/>
    </row>
    <row r="69" spans="1:13" ht="20.100000000000001" customHeight="1" x14ac:dyDescent="0.2">
      <c r="D69" s="182" t="str" cm="1">
        <f t="array" ref="D69">Common_InputFunctions.Utility_DisplayArrayInTable(Fuel_SourceData.Fuel_Scope1Scope3EmissionFactorsStationaryLiquid_Data(), Table_Fuel_EFs_StationaryLiquid[[#Headers],[Fuel combusted]],0)</f>
        <v>Petroleum coke</v>
      </c>
      <c r="E69" s="182" cm="1">
        <f t="array" ref="E69">Common_InputFunctions.Utility_DisplayArrayInTable(Fuel_SourceData.Fuel_Scope1Scope3EmissionFactorsStationaryLiquid_Data(), Table_Fuel_EFs_StationaryLiquid[[#Headers],[Fuel combusted]],0)</f>
        <v>34.200000000000003</v>
      </c>
      <c r="F69" s="182" t="str" cm="1">
        <f t="array" ref="F69">Common_InputFunctions.Utility_DisplayArrayInTable(Fuel_SourceData.Fuel_Scope1Scope3EmissionFactorsStationaryLiquid_Data(), Table_Fuel_EFs_StationaryLiquid[[#Headers],[Fuel combusted]],0)</f>
        <v>t</v>
      </c>
      <c r="G69" s="182" cm="1">
        <f t="array" ref="G69">Common_InputFunctions.Utility_DisplayArrayInTable(Fuel_SourceData.Fuel_Scope1Scope3EmissionFactorsStationaryLiquid_Data(), Table_Fuel_EFs_StationaryLiquid[[#Headers],[Fuel combusted]],0)</f>
        <v>92.6</v>
      </c>
      <c r="H69" s="182" cm="1">
        <f t="array" ref="H69">Common_InputFunctions.Utility_DisplayArrayInTable(Fuel_SourceData.Fuel_Scope1Scope3EmissionFactorsStationaryLiquid_Data(), Table_Fuel_EFs_StationaryLiquid[[#Headers],[Fuel combusted]],0)</f>
        <v>0.08</v>
      </c>
      <c r="I69" s="182" cm="1">
        <f t="array" ref="I69">Common_InputFunctions.Utility_DisplayArrayInTable(Fuel_SourceData.Fuel_Scope1Scope3EmissionFactorsStationaryLiquid_Data(), Table_Fuel_EFs_StationaryLiquid[[#Headers],[Fuel combusted]],0)</f>
        <v>0.2</v>
      </c>
      <c r="J69" s="182" cm="1">
        <f t="array" ref="J69">Common_InputFunctions.Utility_DisplayArrayInTable(Fuel_SourceData.Fuel_Scope1Scope3EmissionFactorsStationaryLiquid_Data(), Table_Fuel_EFs_StationaryLiquid[[#Headers],[Fuel combusted]],0)</f>
        <v>92.88</v>
      </c>
      <c r="K69" s="182" cm="1">
        <f t="array" ref="K69">Common_InputFunctions.Utility_DisplayArrayInTable(Fuel_SourceData.Fuel_Scope1Scope3EmissionFactorsStationaryLiquid_Data(), Table_Fuel_EFs_StationaryLiquid[[#Headers],[Fuel combusted]],0)</f>
        <v>18</v>
      </c>
      <c r="L69" s="154"/>
    </row>
    <row r="70" spans="1:13" ht="20.100000000000001" customHeight="1" x14ac:dyDescent="0.2">
      <c r="D70" s="182" t="str" cm="1">
        <f t="array" ref="D70">Common_InputFunctions.Utility_DisplayArrayInTable(Fuel_SourceData.Fuel_Scope1Scope3EmissionFactorsStationaryLiquid_Data(), Table_Fuel_EFs_StationaryLiquid[[#Headers],[Fuel combusted]],0)</f>
        <v>Refinery gas and liquids</v>
      </c>
      <c r="E70" s="182" cm="1">
        <f t="array" ref="E70">Common_InputFunctions.Utility_DisplayArrayInTable(Fuel_SourceData.Fuel_Scope1Scope3EmissionFactorsStationaryLiquid_Data(), Table_Fuel_EFs_StationaryLiquid[[#Headers],[Fuel combusted]],0)</f>
        <v>42.9</v>
      </c>
      <c r="F70" s="182" t="str" cm="1">
        <f t="array" ref="F70">Common_InputFunctions.Utility_DisplayArrayInTable(Fuel_SourceData.Fuel_Scope1Scope3EmissionFactorsStationaryLiquid_Data(), Table_Fuel_EFs_StationaryLiquid[[#Headers],[Fuel combusted]],0)</f>
        <v>t</v>
      </c>
      <c r="G70" s="182" cm="1">
        <f t="array" ref="G70">Common_InputFunctions.Utility_DisplayArrayInTable(Fuel_SourceData.Fuel_Scope1Scope3EmissionFactorsStationaryLiquid_Data(), Table_Fuel_EFs_StationaryLiquid[[#Headers],[Fuel combusted]],0)</f>
        <v>54.7</v>
      </c>
      <c r="H70" s="182" cm="1">
        <f t="array" ref="H70">Common_InputFunctions.Utility_DisplayArrayInTable(Fuel_SourceData.Fuel_Scope1Scope3EmissionFactorsStationaryLiquid_Data(), Table_Fuel_EFs_StationaryLiquid[[#Headers],[Fuel combusted]],0)</f>
        <v>0.03</v>
      </c>
      <c r="I70" s="182" cm="1">
        <f t="array" ref="I70">Common_InputFunctions.Utility_DisplayArrayInTable(Fuel_SourceData.Fuel_Scope1Scope3EmissionFactorsStationaryLiquid_Data(), Table_Fuel_EFs_StationaryLiquid[[#Headers],[Fuel combusted]],0)</f>
        <v>0.03</v>
      </c>
      <c r="J70" s="182" cm="1">
        <f t="array" ref="J70">Common_InputFunctions.Utility_DisplayArrayInTable(Fuel_SourceData.Fuel_Scope1Scope3EmissionFactorsStationaryLiquid_Data(), Table_Fuel_EFs_StationaryLiquid[[#Headers],[Fuel combusted]],0)</f>
        <v>54.76</v>
      </c>
      <c r="K70" s="182" cm="1">
        <f t="array" ref="K70">Common_InputFunctions.Utility_DisplayArrayInTable(Fuel_SourceData.Fuel_Scope1Scope3EmissionFactorsStationaryLiquid_Data(), Table_Fuel_EFs_StationaryLiquid[[#Headers],[Fuel combusted]],0)</f>
        <v>18</v>
      </c>
      <c r="L70" s="154"/>
    </row>
    <row r="71" spans="1:13" ht="20.100000000000001" customHeight="1" x14ac:dyDescent="0.2">
      <c r="D71" s="182" t="str" cm="1">
        <f t="array" ref="D71">Common_InputFunctions.Utility_DisplayArrayInTable(Fuel_SourceData.Fuel_Scope1Scope3EmissionFactorsStationaryLiquid_Data(), Table_Fuel_EFs_StationaryLiquid[[#Headers],[Fuel combusted]],0)</f>
        <v>Refinery coke</v>
      </c>
      <c r="E71" s="182" cm="1">
        <f t="array" ref="E71">Common_InputFunctions.Utility_DisplayArrayInTable(Fuel_SourceData.Fuel_Scope1Scope3EmissionFactorsStationaryLiquid_Data(), Table_Fuel_EFs_StationaryLiquid[[#Headers],[Fuel combusted]],0)</f>
        <v>34.200000000000003</v>
      </c>
      <c r="F71" s="182" t="str" cm="1">
        <f t="array" ref="F71">Common_InputFunctions.Utility_DisplayArrayInTable(Fuel_SourceData.Fuel_Scope1Scope3EmissionFactorsStationaryLiquid_Data(), Table_Fuel_EFs_StationaryLiquid[[#Headers],[Fuel combusted]],0)</f>
        <v>t</v>
      </c>
      <c r="G71" s="182" cm="1">
        <f t="array" ref="G71">Common_InputFunctions.Utility_DisplayArrayInTable(Fuel_SourceData.Fuel_Scope1Scope3EmissionFactorsStationaryLiquid_Data(), Table_Fuel_EFs_StationaryLiquid[[#Headers],[Fuel combusted]],0)</f>
        <v>92.6</v>
      </c>
      <c r="H71" s="182" cm="1">
        <f t="array" ref="H71">Common_InputFunctions.Utility_DisplayArrayInTable(Fuel_SourceData.Fuel_Scope1Scope3EmissionFactorsStationaryLiquid_Data(), Table_Fuel_EFs_StationaryLiquid[[#Headers],[Fuel combusted]],0)</f>
        <v>0.08</v>
      </c>
      <c r="I71" s="182" cm="1">
        <f t="array" ref="I71">Common_InputFunctions.Utility_DisplayArrayInTable(Fuel_SourceData.Fuel_Scope1Scope3EmissionFactorsStationaryLiquid_Data(), Table_Fuel_EFs_StationaryLiquid[[#Headers],[Fuel combusted]],0)</f>
        <v>0.2</v>
      </c>
      <c r="J71" s="182" cm="1">
        <f t="array" ref="J71">Common_InputFunctions.Utility_DisplayArrayInTable(Fuel_SourceData.Fuel_Scope1Scope3EmissionFactorsStationaryLiquid_Data(), Table_Fuel_EFs_StationaryLiquid[[#Headers],[Fuel combusted]],0)</f>
        <v>92.88</v>
      </c>
      <c r="K71" s="182" cm="1">
        <f t="array" ref="K71">Common_InputFunctions.Utility_DisplayArrayInTable(Fuel_SourceData.Fuel_Scope1Scope3EmissionFactorsStationaryLiquid_Data(), Table_Fuel_EFs_StationaryLiquid[[#Headers],[Fuel combusted]],0)</f>
        <v>18</v>
      </c>
      <c r="L71" s="154"/>
    </row>
    <row r="72" spans="1:13" ht="20.100000000000001" customHeight="1" x14ac:dyDescent="0.2">
      <c r="D72" s="182" t="str" cm="1">
        <f t="array" ref="D72">Common_InputFunctions.Utility_DisplayArrayInTable(Fuel_SourceData.Fuel_Scope1Scope3EmissionFactorsStationaryLiquid_Data(), Table_Fuel_EFs_StationaryLiquid[[#Headers],[Fuel combusted]],0)</f>
        <v>Petroleum based products other than mentioned in the items above</v>
      </c>
      <c r="E72" s="182" cm="1">
        <f t="array" ref="E72">Common_InputFunctions.Utility_DisplayArrayInTable(Fuel_SourceData.Fuel_Scope1Scope3EmissionFactorsStationaryLiquid_Data(), Table_Fuel_EFs_StationaryLiquid[[#Headers],[Fuel combusted]],0)</f>
        <v>34.4</v>
      </c>
      <c r="F72" s="182" t="str" cm="1">
        <f t="array" ref="F72">Common_InputFunctions.Utility_DisplayArrayInTable(Fuel_SourceData.Fuel_Scope1Scope3EmissionFactorsStationaryLiquid_Data(), Table_Fuel_EFs_StationaryLiquid[[#Headers],[Fuel combusted]],0)</f>
        <v>kL</v>
      </c>
      <c r="G72" s="182" cm="1">
        <f t="array" ref="G72">Common_InputFunctions.Utility_DisplayArrayInTable(Fuel_SourceData.Fuel_Scope1Scope3EmissionFactorsStationaryLiquid_Data(), Table_Fuel_EFs_StationaryLiquid[[#Headers],[Fuel combusted]],0)</f>
        <v>69.8</v>
      </c>
      <c r="H72" s="182" cm="1">
        <f t="array" ref="H72">Common_InputFunctions.Utility_DisplayArrayInTable(Fuel_SourceData.Fuel_Scope1Scope3EmissionFactorsStationaryLiquid_Data(), Table_Fuel_EFs_StationaryLiquid[[#Headers],[Fuel combusted]],0)</f>
        <v>0.02</v>
      </c>
      <c r="I72" s="182" cm="1">
        <f t="array" ref="I72">Common_InputFunctions.Utility_DisplayArrayInTable(Fuel_SourceData.Fuel_Scope1Scope3EmissionFactorsStationaryLiquid_Data(), Table_Fuel_EFs_StationaryLiquid[[#Headers],[Fuel combusted]],0)</f>
        <v>0.1</v>
      </c>
      <c r="J72" s="182" cm="1">
        <f t="array" ref="J72">Common_InputFunctions.Utility_DisplayArrayInTable(Fuel_SourceData.Fuel_Scope1Scope3EmissionFactorsStationaryLiquid_Data(), Table_Fuel_EFs_StationaryLiquid[[#Headers],[Fuel combusted]],0)</f>
        <v>69.92</v>
      </c>
      <c r="K72" s="182" cm="1">
        <f t="array" ref="K72">Common_InputFunctions.Utility_DisplayArrayInTable(Fuel_SourceData.Fuel_Scope1Scope3EmissionFactorsStationaryLiquid_Data(), Table_Fuel_EFs_StationaryLiquid[[#Headers],[Fuel combusted]],0)</f>
        <v>18</v>
      </c>
      <c r="L72" s="154"/>
    </row>
    <row r="73" spans="1:13" ht="20.100000000000001" customHeight="1" x14ac:dyDescent="0.2">
      <c r="D73" s="182" t="str" cm="1">
        <f t="array" ref="D73">Common_InputFunctions.Utility_DisplayArrayInTable(Fuel_SourceData.Fuel_Scope1Scope3EmissionFactorsStationaryLiquid_Data(), Table_Fuel_EFs_StationaryLiquid[[#Headers],[Fuel combusted]],0)</f>
        <v>Biodiesel</v>
      </c>
      <c r="E73" s="182" cm="1">
        <f t="array" ref="E73">Common_InputFunctions.Utility_DisplayArrayInTable(Fuel_SourceData.Fuel_Scope1Scope3EmissionFactorsStationaryLiquid_Data(), Table_Fuel_EFs_StationaryLiquid[[#Headers],[Fuel combusted]],0)</f>
        <v>34.6</v>
      </c>
      <c r="F73" s="182" t="str" cm="1">
        <f t="array" ref="F73">Common_InputFunctions.Utility_DisplayArrayInTable(Fuel_SourceData.Fuel_Scope1Scope3EmissionFactorsStationaryLiquid_Data(), Table_Fuel_EFs_StationaryLiquid[[#Headers],[Fuel combusted]],0)</f>
        <v>kL</v>
      </c>
      <c r="G73" s="182" cm="1">
        <f t="array" ref="G73">Common_InputFunctions.Utility_DisplayArrayInTable(Fuel_SourceData.Fuel_Scope1Scope3EmissionFactorsStationaryLiquid_Data(), Table_Fuel_EFs_StationaryLiquid[[#Headers],[Fuel combusted]],0)</f>
        <v>0</v>
      </c>
      <c r="H73" s="182" cm="1">
        <f t="array" ref="H73">Common_InputFunctions.Utility_DisplayArrayInTable(Fuel_SourceData.Fuel_Scope1Scope3EmissionFactorsStationaryLiquid_Data(), Table_Fuel_EFs_StationaryLiquid[[#Headers],[Fuel combusted]],0)</f>
        <v>0.08</v>
      </c>
      <c r="I73" s="182" cm="1">
        <f t="array" ref="I73">Common_InputFunctions.Utility_DisplayArrayInTable(Fuel_SourceData.Fuel_Scope1Scope3EmissionFactorsStationaryLiquid_Data(), Table_Fuel_EFs_StationaryLiquid[[#Headers],[Fuel combusted]],0)</f>
        <v>0.2</v>
      </c>
      <c r="J73" s="182" cm="1">
        <f t="array" ref="J73">Common_InputFunctions.Utility_DisplayArrayInTable(Fuel_SourceData.Fuel_Scope1Scope3EmissionFactorsStationaryLiquid_Data(), Table_Fuel_EFs_StationaryLiquid[[#Headers],[Fuel combusted]],0)</f>
        <v>0.28000000000000003</v>
      </c>
      <c r="K73" s="182" t="str" cm="1">
        <f t="array" ref="K73">Common_InputFunctions.Utility_DisplayArrayInTable(Fuel_SourceData.Fuel_Scope1Scope3EmissionFactorsStationaryLiquid_Data(), Table_Fuel_EFs_StationaryLiquid[[#Headers],[Fuel combusted]],0)</f>
        <v>NE</v>
      </c>
      <c r="L73" s="154"/>
    </row>
    <row r="74" spans="1:13" ht="20.100000000000001" customHeight="1" x14ac:dyDescent="0.2">
      <c r="D74" s="182" t="str" cm="1">
        <f t="array" ref="D74">Common_InputFunctions.Utility_DisplayArrayInTable(Fuel_SourceData.Fuel_Scope1Scope3EmissionFactorsStationaryLiquid_Data(), Table_Fuel_EFs_StationaryLiquid[[#Headers],[Fuel combusted]],0)</f>
        <v>Ethanol for use as a fuel in an internal combustion engine</v>
      </c>
      <c r="E74" s="182" cm="1">
        <f t="array" ref="E74">Common_InputFunctions.Utility_DisplayArrayInTable(Fuel_SourceData.Fuel_Scope1Scope3EmissionFactorsStationaryLiquid_Data(), Table_Fuel_EFs_StationaryLiquid[[#Headers],[Fuel combusted]],0)</f>
        <v>23.4</v>
      </c>
      <c r="F74" s="182" t="str" cm="1">
        <f t="array" ref="F74">Common_InputFunctions.Utility_DisplayArrayInTable(Fuel_SourceData.Fuel_Scope1Scope3EmissionFactorsStationaryLiquid_Data(), Table_Fuel_EFs_StationaryLiquid[[#Headers],[Fuel combusted]],0)</f>
        <v>kL</v>
      </c>
      <c r="G74" s="182" cm="1">
        <f t="array" ref="G74">Common_InputFunctions.Utility_DisplayArrayInTable(Fuel_SourceData.Fuel_Scope1Scope3EmissionFactorsStationaryLiquid_Data(), Table_Fuel_EFs_StationaryLiquid[[#Headers],[Fuel combusted]],0)</f>
        <v>0</v>
      </c>
      <c r="H74" s="182" cm="1">
        <f t="array" ref="H74">Common_InputFunctions.Utility_DisplayArrayInTable(Fuel_SourceData.Fuel_Scope1Scope3EmissionFactorsStationaryLiquid_Data(), Table_Fuel_EFs_StationaryLiquid[[#Headers],[Fuel combusted]],0)</f>
        <v>0.08</v>
      </c>
      <c r="I74" s="182" cm="1">
        <f t="array" ref="I74">Common_InputFunctions.Utility_DisplayArrayInTable(Fuel_SourceData.Fuel_Scope1Scope3EmissionFactorsStationaryLiquid_Data(), Table_Fuel_EFs_StationaryLiquid[[#Headers],[Fuel combusted]],0)</f>
        <v>0.2</v>
      </c>
      <c r="J74" s="182" cm="1">
        <f t="array" ref="J74">Common_InputFunctions.Utility_DisplayArrayInTable(Fuel_SourceData.Fuel_Scope1Scope3EmissionFactorsStationaryLiquid_Data(), Table_Fuel_EFs_StationaryLiquid[[#Headers],[Fuel combusted]],0)</f>
        <v>0.28000000000000003</v>
      </c>
      <c r="K74" s="182" t="str" cm="1">
        <f t="array" ref="K74">Common_InputFunctions.Utility_DisplayArrayInTable(Fuel_SourceData.Fuel_Scope1Scope3EmissionFactorsStationaryLiquid_Data(), Table_Fuel_EFs_StationaryLiquid[[#Headers],[Fuel combusted]],0)</f>
        <v>NE</v>
      </c>
      <c r="L74" s="154"/>
    </row>
    <row r="75" spans="1:13" ht="20.100000000000001" customHeight="1" x14ac:dyDescent="0.2">
      <c r="D75" s="182" t="str" cm="1">
        <f t="array" ref="D75">Common_InputFunctions.Utility_DisplayArrayInTable(Fuel_SourceData.Fuel_Scope1Scope3EmissionFactorsStationaryLiquid_Data(), Table_Fuel_EFs_StationaryLiquid[[#Headers],[Fuel combusted]],0)</f>
        <v>Biofuels other than those mentioned in the items above and below</v>
      </c>
      <c r="E75" s="182" cm="1">
        <f t="array" ref="E75">Common_InputFunctions.Utility_DisplayArrayInTable(Fuel_SourceData.Fuel_Scope1Scope3EmissionFactorsStationaryLiquid_Data(), Table_Fuel_EFs_StationaryLiquid[[#Headers],[Fuel combusted]],0)</f>
        <v>23.4</v>
      </c>
      <c r="F75" s="182" t="str" cm="1">
        <f t="array" ref="F75">Common_InputFunctions.Utility_DisplayArrayInTable(Fuel_SourceData.Fuel_Scope1Scope3EmissionFactorsStationaryLiquid_Data(), Table_Fuel_EFs_StationaryLiquid[[#Headers],[Fuel combusted]],0)</f>
        <v>kL</v>
      </c>
      <c r="G75" s="182" cm="1">
        <f t="array" ref="G75">Common_InputFunctions.Utility_DisplayArrayInTable(Fuel_SourceData.Fuel_Scope1Scope3EmissionFactorsStationaryLiquid_Data(), Table_Fuel_EFs_StationaryLiquid[[#Headers],[Fuel combusted]],0)</f>
        <v>0</v>
      </c>
      <c r="H75" s="182" cm="1">
        <f t="array" ref="H75">Common_InputFunctions.Utility_DisplayArrayInTable(Fuel_SourceData.Fuel_Scope1Scope3EmissionFactorsStationaryLiquid_Data(), Table_Fuel_EFs_StationaryLiquid[[#Headers],[Fuel combusted]],0)</f>
        <v>0.08</v>
      </c>
      <c r="I75" s="182" cm="1">
        <f t="array" ref="I75">Common_InputFunctions.Utility_DisplayArrayInTable(Fuel_SourceData.Fuel_Scope1Scope3EmissionFactorsStationaryLiquid_Data(), Table_Fuel_EFs_StationaryLiquid[[#Headers],[Fuel combusted]],0)</f>
        <v>0.2</v>
      </c>
      <c r="J75" s="182" cm="1">
        <f t="array" ref="J75">Common_InputFunctions.Utility_DisplayArrayInTable(Fuel_SourceData.Fuel_Scope1Scope3EmissionFactorsStationaryLiquid_Data(), Table_Fuel_EFs_StationaryLiquid[[#Headers],[Fuel combusted]],0)</f>
        <v>0.28000000000000003</v>
      </c>
      <c r="K75" s="182" t="str" cm="1">
        <f t="array" ref="K75">Common_InputFunctions.Utility_DisplayArrayInTable(Fuel_SourceData.Fuel_Scope1Scope3EmissionFactorsStationaryLiquid_Data(), Table_Fuel_EFs_StationaryLiquid[[#Headers],[Fuel combusted]],0)</f>
        <v>NE</v>
      </c>
      <c r="L75" s="154"/>
    </row>
    <row r="76" spans="1:13" ht="20.100000000000001" customHeight="1" x14ac:dyDescent="0.2">
      <c r="D76" s="182" t="str" cm="1">
        <f t="array" ref="D76">Common_InputFunctions.Utility_DisplayArrayInTable(Fuel_SourceData.Fuel_Scope1Scope3EmissionFactorsStationaryLiquid_Data(), Table_Fuel_EFs_StationaryLiquid[[#Headers],[Fuel combusted]],0)</f>
        <v>Renewable aviation kerosene</v>
      </c>
      <c r="E76" s="182" cm="1">
        <f t="array" ref="E76">Common_InputFunctions.Utility_DisplayArrayInTable(Fuel_SourceData.Fuel_Scope1Scope3EmissionFactorsStationaryLiquid_Data(), Table_Fuel_EFs_StationaryLiquid[[#Headers],[Fuel combusted]],0)</f>
        <v>36.799999999999997</v>
      </c>
      <c r="F76" s="182" t="str" cm="1">
        <f t="array" ref="F76">Common_InputFunctions.Utility_DisplayArrayInTable(Fuel_SourceData.Fuel_Scope1Scope3EmissionFactorsStationaryLiquid_Data(), Table_Fuel_EFs_StationaryLiquid[[#Headers],[Fuel combusted]],0)</f>
        <v>kL</v>
      </c>
      <c r="G76" s="182" cm="1">
        <f t="array" ref="G76">Common_InputFunctions.Utility_DisplayArrayInTable(Fuel_SourceData.Fuel_Scope1Scope3EmissionFactorsStationaryLiquid_Data(), Table_Fuel_EFs_StationaryLiquid[[#Headers],[Fuel combusted]],0)</f>
        <v>0</v>
      </c>
      <c r="H76" s="182" cm="1">
        <f t="array" ref="H76">Common_InputFunctions.Utility_DisplayArrayInTable(Fuel_SourceData.Fuel_Scope1Scope3EmissionFactorsStationaryLiquid_Data(), Table_Fuel_EFs_StationaryLiquid[[#Headers],[Fuel combusted]],0)</f>
        <v>0.02</v>
      </c>
      <c r="I76" s="182" cm="1">
        <f t="array" ref="I76">Common_InputFunctions.Utility_DisplayArrayInTable(Fuel_SourceData.Fuel_Scope1Scope3EmissionFactorsStationaryLiquid_Data(), Table_Fuel_EFs_StationaryLiquid[[#Headers],[Fuel combusted]],0)</f>
        <v>0.2</v>
      </c>
      <c r="J76" s="182" cm="1">
        <f t="array" ref="J76">Common_InputFunctions.Utility_DisplayArrayInTable(Fuel_SourceData.Fuel_Scope1Scope3EmissionFactorsStationaryLiquid_Data(), Table_Fuel_EFs_StationaryLiquid[[#Headers],[Fuel combusted]],0)</f>
        <v>0.22</v>
      </c>
      <c r="K76" s="182" t="str" cm="1">
        <f t="array" ref="K76">Common_InputFunctions.Utility_DisplayArrayInTable(Fuel_SourceData.Fuel_Scope1Scope3EmissionFactorsStationaryLiquid_Data(), Table_Fuel_EFs_StationaryLiquid[[#Headers],[Fuel combusted]],0)</f>
        <v>NE</v>
      </c>
      <c r="L76" s="154"/>
    </row>
    <row r="77" spans="1:13" ht="20.100000000000001" customHeight="1" x14ac:dyDescent="0.2">
      <c r="D77" s="182" t="str" cm="1">
        <f t="array" ref="D77">Common_InputFunctions.Utility_DisplayArrayInTable(Fuel_SourceData.Fuel_Scope1Scope3EmissionFactorsStationaryLiquid_Data(), Table_Fuel_EFs_StationaryLiquid[[#Headers],[Fuel combusted]],0)</f>
        <v>Renewable diesel</v>
      </c>
      <c r="E77" s="182" cm="1">
        <f t="array" ref="E77">Common_InputFunctions.Utility_DisplayArrayInTable(Fuel_SourceData.Fuel_Scope1Scope3EmissionFactorsStationaryLiquid_Data(), Table_Fuel_EFs_StationaryLiquid[[#Headers],[Fuel combusted]],0)</f>
        <v>38.6</v>
      </c>
      <c r="F77" s="182" t="str" cm="1">
        <f t="array" ref="F77">Common_InputFunctions.Utility_DisplayArrayInTable(Fuel_SourceData.Fuel_Scope1Scope3EmissionFactorsStationaryLiquid_Data(), Table_Fuel_EFs_StationaryLiquid[[#Headers],[Fuel combusted]],0)</f>
        <v>kL</v>
      </c>
      <c r="G77" s="182" cm="1">
        <f t="array" ref="G77">Common_InputFunctions.Utility_DisplayArrayInTable(Fuel_SourceData.Fuel_Scope1Scope3EmissionFactorsStationaryLiquid_Data(), Table_Fuel_EFs_StationaryLiquid[[#Headers],[Fuel combusted]],0)</f>
        <v>0</v>
      </c>
      <c r="H77" s="182" cm="1">
        <f t="array" ref="H77">Common_InputFunctions.Utility_DisplayArrayInTable(Fuel_SourceData.Fuel_Scope1Scope3EmissionFactorsStationaryLiquid_Data(), Table_Fuel_EFs_StationaryLiquid[[#Headers],[Fuel combusted]],0)</f>
        <v>0.1</v>
      </c>
      <c r="I77" s="182" cm="1">
        <f t="array" ref="I77">Common_InputFunctions.Utility_DisplayArrayInTable(Fuel_SourceData.Fuel_Scope1Scope3EmissionFactorsStationaryLiquid_Data(), Table_Fuel_EFs_StationaryLiquid[[#Headers],[Fuel combusted]],0)</f>
        <v>0.2</v>
      </c>
      <c r="J77" s="182" cm="1">
        <f t="array" ref="J77">Common_InputFunctions.Utility_DisplayArrayInTable(Fuel_SourceData.Fuel_Scope1Scope3EmissionFactorsStationaryLiquid_Data(), Table_Fuel_EFs_StationaryLiquid[[#Headers],[Fuel combusted]],0)</f>
        <v>0.3</v>
      </c>
      <c r="K77" s="182" t="str" cm="1">
        <f t="array" ref="K77">Common_InputFunctions.Utility_DisplayArrayInTable(Fuel_SourceData.Fuel_Scope1Scope3EmissionFactorsStationaryLiquid_Data(), Table_Fuel_EFs_StationaryLiquid[[#Headers],[Fuel combusted]],0)</f>
        <v>NE</v>
      </c>
      <c r="L77" s="154"/>
    </row>
    <row r="78" spans="1:13" ht="20.100000000000001" customHeight="1" x14ac:dyDescent="0.2">
      <c r="D78" s="154"/>
      <c r="E78" s="154"/>
      <c r="F78" s="154"/>
      <c r="G78" s="154"/>
      <c r="H78" s="154"/>
      <c r="I78" s="154"/>
      <c r="J78" s="154"/>
      <c r="K78" s="154"/>
      <c r="L78" s="154"/>
    </row>
    <row r="79" spans="1:13" ht="20.100000000000001" customHeight="1" x14ac:dyDescent="0.2">
      <c r="D79" s="154"/>
      <c r="E79" s="154"/>
      <c r="F79" s="154"/>
      <c r="G79" s="154"/>
      <c r="H79" s="154"/>
      <c r="I79" s="154"/>
      <c r="J79" s="154"/>
      <c r="K79" s="154"/>
      <c r="L79" s="154"/>
      <c r="M79" s="154"/>
    </row>
    <row r="80" spans="1:13" ht="20.100000000000001" customHeight="1" x14ac:dyDescent="0.2">
      <c r="D80" s="154"/>
      <c r="E80" s="154"/>
      <c r="F80" s="154"/>
      <c r="G80" s="154"/>
      <c r="H80" s="154"/>
      <c r="I80" s="154"/>
      <c r="J80" s="154"/>
      <c r="K80" s="154"/>
      <c r="L80" s="154"/>
      <c r="M80" s="154"/>
    </row>
    <row r="81" spans="4:12" ht="20.100000000000001" customHeight="1" x14ac:dyDescent="0.2">
      <c r="D81" s="2" t="str" cm="1">
        <f t="array" ref="D81">Fuel_SourceData.Fuel_Scope1EmissionFactorsStationaryGaseous_Title()</f>
        <v>Fuel scope 1 emission factors - Stationary gaseous fuels</v>
      </c>
      <c r="E81" s="154"/>
      <c r="F81" s="154"/>
      <c r="G81" s="154"/>
      <c r="H81" s="154"/>
      <c r="I81" s="154"/>
      <c r="J81" s="154"/>
      <c r="K81" s="154"/>
      <c r="L81" s="154"/>
    </row>
    <row r="82" spans="4:12" ht="20.100000000000001" customHeight="1" x14ac:dyDescent="0.2">
      <c r="D82" s="1" t="str" cm="1">
        <f t="array" ref="D82">Fuel_SourceData.Fuel_Scope1EmissionFactorsStationaryGaseous_Description()</f>
        <v xml:space="preserve">Direct (Scope 1) emission factors for the consumption of gaseous fuels including liquefied natural gas  </v>
      </c>
      <c r="E82" s="154"/>
      <c r="F82" s="154"/>
      <c r="G82" s="154"/>
      <c r="H82" s="154"/>
      <c r="I82" s="154"/>
      <c r="J82" s="154"/>
      <c r="K82" s="154"/>
      <c r="L82" s="154"/>
    </row>
    <row r="83" spans="4:12" ht="20.100000000000001" customHeight="1" x14ac:dyDescent="0.2">
      <c r="D83" s="17" t="str" cm="1">
        <f t="array" ref="D83">Fuel_SourceData.Fuel_Scope1EmissionFactorsStationaryGaseous_Source()</f>
        <v>Australian National Greenhouse Accounts Factors 2025 - Table 5</v>
      </c>
      <c r="E83" s="154"/>
      <c r="F83" s="154"/>
      <c r="G83" s="154"/>
      <c r="H83" s="154"/>
      <c r="I83" s="154"/>
      <c r="J83" s="154"/>
      <c r="K83" s="154"/>
      <c r="L83" s="154"/>
    </row>
    <row r="84" spans="4:12" ht="20.100000000000001" customHeight="1" x14ac:dyDescent="0.2">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4"/>
      <c r="F84" s="154"/>
      <c r="G84" s="154"/>
      <c r="H84" s="154"/>
      <c r="I84" s="154"/>
      <c r="J84" s="154"/>
      <c r="K84" s="154"/>
      <c r="L84" s="154"/>
    </row>
    <row r="85" spans="4:12" ht="20.100000000000001" customHeight="1" x14ac:dyDescent="0.2">
      <c r="D85" s="154"/>
      <c r="E85" s="154"/>
      <c r="F85" s="154"/>
      <c r="G85" s="154"/>
      <c r="H85" s="154"/>
      <c r="I85" s="154"/>
      <c r="J85" s="154"/>
      <c r="K85" s="154"/>
      <c r="L85" s="154"/>
    </row>
    <row r="86" spans="4:12" ht="20.100000000000001" customHeight="1" x14ac:dyDescent="0.2">
      <c r="D86" s="147" t="s">
        <v>640</v>
      </c>
      <c r="E86" s="181" t="s">
        <v>641</v>
      </c>
      <c r="F86" s="147" t="s">
        <v>642</v>
      </c>
      <c r="G86" s="181" t="s">
        <v>643</v>
      </c>
      <c r="H86" s="181" t="s">
        <v>644</v>
      </c>
      <c r="I86" s="181" t="s">
        <v>645</v>
      </c>
      <c r="J86" s="181" t="s">
        <v>646</v>
      </c>
      <c r="K86" s="154"/>
      <c r="L86" s="154"/>
    </row>
    <row r="87" spans="4:12" ht="20.100000000000001" customHeight="1" x14ac:dyDescent="0.2">
      <c r="D87" s="182" t="str" cm="1">
        <f t="array" ref="D87">Common_InputFunctions.Utility_DisplayArrayInTable(Fuel_SourceData.Fuel_Scope1EmissionFactorsStationaryGaseous_Data(), Table_Fuel_EFs_StationaryGaseous[[#Headers],[Fuel combusted]],0)</f>
        <v>Natural gas distributed in a pipeline</v>
      </c>
      <c r="E87" s="182" cm="1">
        <f t="array" ref="E87">Common_InputFunctions.Utility_DisplayArrayInTable(Fuel_SourceData.Fuel_Scope1EmissionFactorsStationaryGaseous_Data(), Table_Fuel_EFs_StationaryGaseous[[#Headers],[Fuel combusted]],0)</f>
        <v>3.9300000000000002E-2</v>
      </c>
      <c r="F87" s="182" t="str" cm="1">
        <f t="array" ref="F87">Common_InputFunctions.Utility_DisplayArrayInTable(Fuel_SourceData.Fuel_Scope1EmissionFactorsStationaryGaseous_Data(), Table_Fuel_EFs_StationaryGaseous[[#Headers],[Fuel combusted]],0)</f>
        <v>m3</v>
      </c>
      <c r="G87" s="182" cm="1">
        <f t="array" ref="G87">Common_InputFunctions.Utility_DisplayArrayInTable(Fuel_SourceData.Fuel_Scope1EmissionFactorsStationaryGaseous_Data(), Table_Fuel_EFs_StationaryGaseous[[#Headers],[Fuel combusted]],0)</f>
        <v>51.4</v>
      </c>
      <c r="H87" s="182" cm="1">
        <f t="array" ref="H87">Common_InputFunctions.Utility_DisplayArrayInTable(Fuel_SourceData.Fuel_Scope1EmissionFactorsStationaryGaseous_Data(), Table_Fuel_EFs_StationaryGaseous[[#Headers],[Fuel combusted]],0)</f>
        <v>0.1</v>
      </c>
      <c r="I87" s="182" cm="1">
        <f t="array" ref="I87">Common_InputFunctions.Utility_DisplayArrayInTable(Fuel_SourceData.Fuel_Scope1EmissionFactorsStationaryGaseous_Data(), Table_Fuel_EFs_StationaryGaseous[[#Headers],[Fuel combusted]],0)</f>
        <v>0.03</v>
      </c>
      <c r="J87" s="182" cm="1">
        <f t="array" ref="J87">Common_InputFunctions.Utility_DisplayArrayInTable(Fuel_SourceData.Fuel_Scope1EmissionFactorsStationaryGaseous_Data(), Table_Fuel_EFs_StationaryGaseous[[#Headers],[Fuel combusted]],0)</f>
        <v>51.53</v>
      </c>
      <c r="K87" s="154"/>
      <c r="L87" s="154"/>
    </row>
    <row r="88" spans="4:12" ht="20.100000000000001" customHeight="1" x14ac:dyDescent="0.2">
      <c r="D88" s="182" t="str" cm="1">
        <f t="array" ref="D88">Common_InputFunctions.Utility_DisplayArrayInTable(Fuel_SourceData.Fuel_Scope1EmissionFactorsStationaryGaseous_Data(), Table_Fuel_EFs_StationaryGaseous[[#Headers],[Fuel combusted]],0)</f>
        <v>Coal seam methane that is captured for combustion</v>
      </c>
      <c r="E88" s="182" cm="1">
        <f t="array" ref="E88">Common_InputFunctions.Utility_DisplayArrayInTable(Fuel_SourceData.Fuel_Scope1EmissionFactorsStationaryGaseous_Data(), Table_Fuel_EFs_StationaryGaseous[[#Headers],[Fuel combusted]],0)</f>
        <v>3.7699999999999997E-2</v>
      </c>
      <c r="F88" s="182" t="str" cm="1">
        <f t="array" ref="F88">Common_InputFunctions.Utility_DisplayArrayInTable(Fuel_SourceData.Fuel_Scope1EmissionFactorsStationaryGaseous_Data(), Table_Fuel_EFs_StationaryGaseous[[#Headers],[Fuel combusted]],0)</f>
        <v>m3</v>
      </c>
      <c r="G88" s="182" cm="1">
        <f t="array" ref="G88">Common_InputFunctions.Utility_DisplayArrayInTable(Fuel_SourceData.Fuel_Scope1EmissionFactorsStationaryGaseous_Data(), Table_Fuel_EFs_StationaryGaseous[[#Headers],[Fuel combusted]],0)</f>
        <v>51.4</v>
      </c>
      <c r="H88" s="182" cm="1">
        <f t="array" ref="H88">Common_InputFunctions.Utility_DisplayArrayInTable(Fuel_SourceData.Fuel_Scope1EmissionFactorsStationaryGaseous_Data(), Table_Fuel_EFs_StationaryGaseous[[#Headers],[Fuel combusted]],0)</f>
        <v>0.2</v>
      </c>
      <c r="I88" s="182" cm="1">
        <f t="array" ref="I88">Common_InputFunctions.Utility_DisplayArrayInTable(Fuel_SourceData.Fuel_Scope1EmissionFactorsStationaryGaseous_Data(), Table_Fuel_EFs_StationaryGaseous[[#Headers],[Fuel combusted]],0)</f>
        <v>0.03</v>
      </c>
      <c r="J88" s="182" cm="1">
        <f t="array" ref="J88">Common_InputFunctions.Utility_DisplayArrayInTable(Fuel_SourceData.Fuel_Scope1EmissionFactorsStationaryGaseous_Data(), Table_Fuel_EFs_StationaryGaseous[[#Headers],[Fuel combusted]],0)</f>
        <v>51.63</v>
      </c>
      <c r="K88" s="154"/>
      <c r="L88" s="154"/>
    </row>
    <row r="89" spans="4:12" ht="20.100000000000001" customHeight="1" x14ac:dyDescent="0.2">
      <c r="D89" s="182" t="str" cm="1">
        <f t="array" ref="D89">Common_InputFunctions.Utility_DisplayArrayInTable(Fuel_SourceData.Fuel_Scope1EmissionFactorsStationaryGaseous_Data(), Table_Fuel_EFs_StationaryGaseous[[#Headers],[Fuel combusted]],0)</f>
        <v>Coal mine waste gas that is captured for combustion</v>
      </c>
      <c r="E89" s="182" cm="1">
        <f t="array" ref="E89">Common_InputFunctions.Utility_DisplayArrayInTable(Fuel_SourceData.Fuel_Scope1EmissionFactorsStationaryGaseous_Data(), Table_Fuel_EFs_StationaryGaseous[[#Headers],[Fuel combusted]],0)</f>
        <v>3.7699999999999997E-2</v>
      </c>
      <c r="F89" s="182" t="str" cm="1">
        <f t="array" ref="F89">Common_InputFunctions.Utility_DisplayArrayInTable(Fuel_SourceData.Fuel_Scope1EmissionFactorsStationaryGaseous_Data(), Table_Fuel_EFs_StationaryGaseous[[#Headers],[Fuel combusted]],0)</f>
        <v>m3</v>
      </c>
      <c r="G89" s="182" cm="1">
        <f t="array" ref="G89">Common_InputFunctions.Utility_DisplayArrayInTable(Fuel_SourceData.Fuel_Scope1EmissionFactorsStationaryGaseous_Data(), Table_Fuel_EFs_StationaryGaseous[[#Headers],[Fuel combusted]],0)</f>
        <v>51.9</v>
      </c>
      <c r="H89" s="182" cm="1">
        <f t="array" ref="H89">Common_InputFunctions.Utility_DisplayArrayInTable(Fuel_SourceData.Fuel_Scope1EmissionFactorsStationaryGaseous_Data(), Table_Fuel_EFs_StationaryGaseous[[#Headers],[Fuel combusted]],0)</f>
        <v>4.5999999999999996</v>
      </c>
      <c r="I89" s="182" cm="1">
        <f t="array" ref="I89">Common_InputFunctions.Utility_DisplayArrayInTable(Fuel_SourceData.Fuel_Scope1EmissionFactorsStationaryGaseous_Data(), Table_Fuel_EFs_StationaryGaseous[[#Headers],[Fuel combusted]],0)</f>
        <v>0.3</v>
      </c>
      <c r="J89" s="182" cm="1">
        <f t="array" ref="J89">Common_InputFunctions.Utility_DisplayArrayInTable(Fuel_SourceData.Fuel_Scope1EmissionFactorsStationaryGaseous_Data(), Table_Fuel_EFs_StationaryGaseous[[#Headers],[Fuel combusted]],0)</f>
        <v>56.8</v>
      </c>
      <c r="K89" s="154"/>
      <c r="L89" s="154"/>
    </row>
    <row r="90" spans="4:12" ht="20.100000000000001" customHeight="1" x14ac:dyDescent="0.2">
      <c r="D90" s="182" t="str" cm="1">
        <f t="array" ref="D90">Common_InputFunctions.Utility_DisplayArrayInTable(Fuel_SourceData.Fuel_Scope1EmissionFactorsStationaryGaseous_Data(), Table_Fuel_EFs_StationaryGaseous[[#Headers],[Fuel combusted]],0)</f>
        <v>Compressed natural gas(reverting to standard conditions)</v>
      </c>
      <c r="E90" s="182" cm="1">
        <f t="array" ref="E90">Common_InputFunctions.Utility_DisplayArrayInTable(Fuel_SourceData.Fuel_Scope1EmissionFactorsStationaryGaseous_Data(), Table_Fuel_EFs_StationaryGaseous[[#Headers],[Fuel combusted]],0)</f>
        <v>3.9300000000000002E-2</v>
      </c>
      <c r="F90" s="182" t="str" cm="1">
        <f t="array" ref="F90">Common_InputFunctions.Utility_DisplayArrayInTable(Fuel_SourceData.Fuel_Scope1EmissionFactorsStationaryGaseous_Data(), Table_Fuel_EFs_StationaryGaseous[[#Headers],[Fuel combusted]],0)</f>
        <v>m3</v>
      </c>
      <c r="G90" s="182" cm="1">
        <f t="array" ref="G90">Common_InputFunctions.Utility_DisplayArrayInTable(Fuel_SourceData.Fuel_Scope1EmissionFactorsStationaryGaseous_Data(), Table_Fuel_EFs_StationaryGaseous[[#Headers],[Fuel combusted]],0)</f>
        <v>51.4</v>
      </c>
      <c r="H90" s="182" cm="1">
        <f t="array" ref="H90">Common_InputFunctions.Utility_DisplayArrayInTable(Fuel_SourceData.Fuel_Scope1EmissionFactorsStationaryGaseous_Data(), Table_Fuel_EFs_StationaryGaseous[[#Headers],[Fuel combusted]],0)</f>
        <v>0.1</v>
      </c>
      <c r="I90" s="182" cm="1">
        <f t="array" ref="I90">Common_InputFunctions.Utility_DisplayArrayInTable(Fuel_SourceData.Fuel_Scope1EmissionFactorsStationaryGaseous_Data(), Table_Fuel_EFs_StationaryGaseous[[#Headers],[Fuel combusted]],0)</f>
        <v>0.03</v>
      </c>
      <c r="J90" s="182" cm="1">
        <f t="array" ref="J90">Common_InputFunctions.Utility_DisplayArrayInTable(Fuel_SourceData.Fuel_Scope1EmissionFactorsStationaryGaseous_Data(), Table_Fuel_EFs_StationaryGaseous[[#Headers],[Fuel combusted]],0)</f>
        <v>51.53</v>
      </c>
      <c r="K90" s="154"/>
      <c r="L90" s="154"/>
    </row>
    <row r="91" spans="4:12" ht="20.100000000000001" customHeight="1" x14ac:dyDescent="0.2">
      <c r="D91" s="182" t="str" cm="1">
        <f t="array" ref="D91">Common_InputFunctions.Utility_DisplayArrayInTable(Fuel_SourceData.Fuel_Scope1EmissionFactorsStationaryGaseous_Data(), Table_Fuel_EFs_StationaryGaseous[[#Headers],[Fuel combusted]],0)</f>
        <v>Unprocessed natural gas</v>
      </c>
      <c r="E91" s="182" cm="1">
        <f t="array" ref="E91">Common_InputFunctions.Utility_DisplayArrayInTable(Fuel_SourceData.Fuel_Scope1EmissionFactorsStationaryGaseous_Data(), Table_Fuel_EFs_StationaryGaseous[[#Headers],[Fuel combusted]],0)</f>
        <v>3.9300000000000002E-2</v>
      </c>
      <c r="F91" s="182" t="str" cm="1">
        <f t="array" ref="F91">Common_InputFunctions.Utility_DisplayArrayInTable(Fuel_SourceData.Fuel_Scope1EmissionFactorsStationaryGaseous_Data(), Table_Fuel_EFs_StationaryGaseous[[#Headers],[Fuel combusted]],0)</f>
        <v>m3</v>
      </c>
      <c r="G91" s="182" cm="1">
        <f t="array" ref="G91">Common_InputFunctions.Utility_DisplayArrayInTable(Fuel_SourceData.Fuel_Scope1EmissionFactorsStationaryGaseous_Data(), Table_Fuel_EFs_StationaryGaseous[[#Headers],[Fuel combusted]],0)</f>
        <v>51.4</v>
      </c>
      <c r="H91" s="182" cm="1">
        <f t="array" ref="H91">Common_InputFunctions.Utility_DisplayArrayInTable(Fuel_SourceData.Fuel_Scope1EmissionFactorsStationaryGaseous_Data(), Table_Fuel_EFs_StationaryGaseous[[#Headers],[Fuel combusted]],0)</f>
        <v>0.1</v>
      </c>
      <c r="I91" s="182" cm="1">
        <f t="array" ref="I91">Common_InputFunctions.Utility_DisplayArrayInTable(Fuel_SourceData.Fuel_Scope1EmissionFactorsStationaryGaseous_Data(), Table_Fuel_EFs_StationaryGaseous[[#Headers],[Fuel combusted]],0)</f>
        <v>0.03</v>
      </c>
      <c r="J91" s="182" cm="1">
        <f t="array" ref="J91">Common_InputFunctions.Utility_DisplayArrayInTable(Fuel_SourceData.Fuel_Scope1EmissionFactorsStationaryGaseous_Data(), Table_Fuel_EFs_StationaryGaseous[[#Headers],[Fuel combusted]],0)</f>
        <v>51.53</v>
      </c>
      <c r="K91" s="154"/>
      <c r="L91" s="154"/>
    </row>
    <row r="92" spans="4:12" ht="20.100000000000001" customHeight="1" x14ac:dyDescent="0.2">
      <c r="D92" s="182" t="str" cm="1">
        <f t="array" ref="D92">Common_InputFunctions.Utility_DisplayArrayInTable(Fuel_SourceData.Fuel_Scope1EmissionFactorsStationaryGaseous_Data(), Table_Fuel_EFs_StationaryGaseous[[#Headers],[Fuel combusted]],0)</f>
        <v>Ethane</v>
      </c>
      <c r="E92" s="182" cm="1">
        <f t="array" ref="E92">Common_InputFunctions.Utility_DisplayArrayInTable(Fuel_SourceData.Fuel_Scope1EmissionFactorsStationaryGaseous_Data(), Table_Fuel_EFs_StationaryGaseous[[#Headers],[Fuel combusted]],0)</f>
        <v>6.2899999999999998E-2</v>
      </c>
      <c r="F92" s="182" t="str" cm="1">
        <f t="array" ref="F92">Common_InputFunctions.Utility_DisplayArrayInTable(Fuel_SourceData.Fuel_Scope1EmissionFactorsStationaryGaseous_Data(), Table_Fuel_EFs_StationaryGaseous[[#Headers],[Fuel combusted]],0)</f>
        <v>m3</v>
      </c>
      <c r="G92" s="182" cm="1">
        <f t="array" ref="G92">Common_InputFunctions.Utility_DisplayArrayInTable(Fuel_SourceData.Fuel_Scope1EmissionFactorsStationaryGaseous_Data(), Table_Fuel_EFs_StationaryGaseous[[#Headers],[Fuel combusted]],0)</f>
        <v>56.5</v>
      </c>
      <c r="H92" s="182" cm="1">
        <f t="array" ref="H92">Common_InputFunctions.Utility_DisplayArrayInTable(Fuel_SourceData.Fuel_Scope1EmissionFactorsStationaryGaseous_Data(), Table_Fuel_EFs_StationaryGaseous[[#Headers],[Fuel combusted]],0)</f>
        <v>0.03</v>
      </c>
      <c r="I92" s="182" cm="1">
        <f t="array" ref="I92">Common_InputFunctions.Utility_DisplayArrayInTable(Fuel_SourceData.Fuel_Scope1EmissionFactorsStationaryGaseous_Data(), Table_Fuel_EFs_StationaryGaseous[[#Headers],[Fuel combusted]],0)</f>
        <v>0.03</v>
      </c>
      <c r="J92" s="182" cm="1">
        <f t="array" ref="J92">Common_InputFunctions.Utility_DisplayArrayInTable(Fuel_SourceData.Fuel_Scope1EmissionFactorsStationaryGaseous_Data(), Table_Fuel_EFs_StationaryGaseous[[#Headers],[Fuel combusted]],0)</f>
        <v>56.56</v>
      </c>
      <c r="K92" s="154"/>
      <c r="L92" s="154"/>
    </row>
    <row r="93" spans="4:12" ht="20.100000000000001" customHeight="1" x14ac:dyDescent="0.2">
      <c r="D93" s="182" t="str" cm="1">
        <f t="array" ref="D93">Common_InputFunctions.Utility_DisplayArrayInTable(Fuel_SourceData.Fuel_Scope1EmissionFactorsStationaryGaseous_Data(), Table_Fuel_EFs_StationaryGaseous[[#Headers],[Fuel combusted]],0)</f>
        <v>Coke oven gas</v>
      </c>
      <c r="E93" s="182" cm="1">
        <f t="array" ref="E93">Common_InputFunctions.Utility_DisplayArrayInTable(Fuel_SourceData.Fuel_Scope1EmissionFactorsStationaryGaseous_Data(), Table_Fuel_EFs_StationaryGaseous[[#Headers],[Fuel combusted]],0)</f>
        <v>1.8100000000000002E-2</v>
      </c>
      <c r="F93" s="182" t="str" cm="1">
        <f t="array" ref="F93">Common_InputFunctions.Utility_DisplayArrayInTable(Fuel_SourceData.Fuel_Scope1EmissionFactorsStationaryGaseous_Data(), Table_Fuel_EFs_StationaryGaseous[[#Headers],[Fuel combusted]],0)</f>
        <v>m3</v>
      </c>
      <c r="G93" s="182" cm="1">
        <f t="array" ref="G93">Common_InputFunctions.Utility_DisplayArrayInTable(Fuel_SourceData.Fuel_Scope1EmissionFactorsStationaryGaseous_Data(), Table_Fuel_EFs_StationaryGaseous[[#Headers],[Fuel combusted]],0)</f>
        <v>37</v>
      </c>
      <c r="H93" s="182" cm="1">
        <f t="array" ref="H93">Common_InputFunctions.Utility_DisplayArrayInTable(Fuel_SourceData.Fuel_Scope1EmissionFactorsStationaryGaseous_Data(), Table_Fuel_EFs_StationaryGaseous[[#Headers],[Fuel combusted]],0)</f>
        <v>0.03</v>
      </c>
      <c r="I93" s="182" cm="1">
        <f t="array" ref="I93">Common_InputFunctions.Utility_DisplayArrayInTable(Fuel_SourceData.Fuel_Scope1EmissionFactorsStationaryGaseous_Data(), Table_Fuel_EFs_StationaryGaseous[[#Headers],[Fuel combusted]],0)</f>
        <v>0.05</v>
      </c>
      <c r="J93" s="182" cm="1">
        <f t="array" ref="J93">Common_InputFunctions.Utility_DisplayArrayInTable(Fuel_SourceData.Fuel_Scope1EmissionFactorsStationaryGaseous_Data(), Table_Fuel_EFs_StationaryGaseous[[#Headers],[Fuel combusted]],0)</f>
        <v>37.08</v>
      </c>
      <c r="K93" s="154"/>
      <c r="L93" s="154"/>
    </row>
    <row r="94" spans="4:12" ht="20.100000000000001" customHeight="1" x14ac:dyDescent="0.2">
      <c r="D94" s="182" t="str" cm="1">
        <f t="array" ref="D94">Common_InputFunctions.Utility_DisplayArrayInTable(Fuel_SourceData.Fuel_Scope1EmissionFactorsStationaryGaseous_Data(), Table_Fuel_EFs_StationaryGaseous[[#Headers],[Fuel combusted]],0)</f>
        <v>Blast furnace gas</v>
      </c>
      <c r="E94" s="182" cm="1">
        <f t="array" ref="E94">Common_InputFunctions.Utility_DisplayArrayInTable(Fuel_SourceData.Fuel_Scope1EmissionFactorsStationaryGaseous_Data(), Table_Fuel_EFs_StationaryGaseous[[#Headers],[Fuel combusted]],0)</f>
        <v>4.0000000000000001E-3</v>
      </c>
      <c r="F94" s="182" t="str" cm="1">
        <f t="array" ref="F94">Common_InputFunctions.Utility_DisplayArrayInTable(Fuel_SourceData.Fuel_Scope1EmissionFactorsStationaryGaseous_Data(), Table_Fuel_EFs_StationaryGaseous[[#Headers],[Fuel combusted]],0)</f>
        <v>m3</v>
      </c>
      <c r="G94" s="182" cm="1">
        <f t="array" ref="G94">Common_InputFunctions.Utility_DisplayArrayInTable(Fuel_SourceData.Fuel_Scope1EmissionFactorsStationaryGaseous_Data(), Table_Fuel_EFs_StationaryGaseous[[#Headers],[Fuel combusted]],0)</f>
        <v>234</v>
      </c>
      <c r="H94" s="182" cm="1">
        <f t="array" ref="H94">Common_InputFunctions.Utility_DisplayArrayInTable(Fuel_SourceData.Fuel_Scope1EmissionFactorsStationaryGaseous_Data(), Table_Fuel_EFs_StationaryGaseous[[#Headers],[Fuel combusted]],0)</f>
        <v>0.03</v>
      </c>
      <c r="I94" s="182" cm="1">
        <f t="array" ref="I94">Common_InputFunctions.Utility_DisplayArrayInTable(Fuel_SourceData.Fuel_Scope1EmissionFactorsStationaryGaseous_Data(), Table_Fuel_EFs_StationaryGaseous[[#Headers],[Fuel combusted]],0)</f>
        <v>0.02</v>
      </c>
      <c r="J94" s="182" cm="1">
        <f t="array" ref="J94">Common_InputFunctions.Utility_DisplayArrayInTable(Fuel_SourceData.Fuel_Scope1EmissionFactorsStationaryGaseous_Data(), Table_Fuel_EFs_StationaryGaseous[[#Headers],[Fuel combusted]],0)</f>
        <v>234.05</v>
      </c>
      <c r="K94" s="154"/>
      <c r="L94" s="154"/>
    </row>
    <row r="95" spans="4:12" ht="20.100000000000001" customHeight="1" x14ac:dyDescent="0.2">
      <c r="D95" s="182" t="str" cm="1">
        <f t="array" ref="D95">Common_InputFunctions.Utility_DisplayArrayInTable(Fuel_SourceData.Fuel_Scope1EmissionFactorsStationaryGaseous_Data(), Table_Fuel_EFs_StationaryGaseous[[#Headers],[Fuel combusted]],0)</f>
        <v>Town gas</v>
      </c>
      <c r="E95" s="182" cm="1">
        <f t="array" ref="E95">Common_InputFunctions.Utility_DisplayArrayInTable(Fuel_SourceData.Fuel_Scope1EmissionFactorsStationaryGaseous_Data(), Table_Fuel_EFs_StationaryGaseous[[#Headers],[Fuel combusted]],0)</f>
        <v>3.9E-2</v>
      </c>
      <c r="F95" s="182" t="str" cm="1">
        <f t="array" ref="F95">Common_InputFunctions.Utility_DisplayArrayInTable(Fuel_SourceData.Fuel_Scope1EmissionFactorsStationaryGaseous_Data(), Table_Fuel_EFs_StationaryGaseous[[#Headers],[Fuel combusted]],0)</f>
        <v>m3</v>
      </c>
      <c r="G95" s="182" cm="1">
        <f t="array" ref="G95">Common_InputFunctions.Utility_DisplayArrayInTable(Fuel_SourceData.Fuel_Scope1EmissionFactorsStationaryGaseous_Data(), Table_Fuel_EFs_StationaryGaseous[[#Headers],[Fuel combusted]],0)</f>
        <v>60.2</v>
      </c>
      <c r="H95" s="182" cm="1">
        <f t="array" ref="H95">Common_InputFunctions.Utility_DisplayArrayInTable(Fuel_SourceData.Fuel_Scope1EmissionFactorsStationaryGaseous_Data(), Table_Fuel_EFs_StationaryGaseous[[#Headers],[Fuel combusted]],0)</f>
        <v>0.04</v>
      </c>
      <c r="I95" s="182" cm="1">
        <f t="array" ref="I95">Common_InputFunctions.Utility_DisplayArrayInTable(Fuel_SourceData.Fuel_Scope1EmissionFactorsStationaryGaseous_Data(), Table_Fuel_EFs_StationaryGaseous[[#Headers],[Fuel combusted]],0)</f>
        <v>0.03</v>
      </c>
      <c r="J95" s="182" cm="1">
        <f t="array" ref="J95">Common_InputFunctions.Utility_DisplayArrayInTable(Fuel_SourceData.Fuel_Scope1EmissionFactorsStationaryGaseous_Data(), Table_Fuel_EFs_StationaryGaseous[[#Headers],[Fuel combusted]],0)</f>
        <v>60.27</v>
      </c>
      <c r="K95" s="154"/>
      <c r="L95" s="154"/>
    </row>
    <row r="96" spans="4:12" ht="20.100000000000001" customHeight="1" x14ac:dyDescent="0.2">
      <c r="D96" s="182" t="str" cm="1">
        <f t="array" ref="D96">Common_InputFunctions.Utility_DisplayArrayInTable(Fuel_SourceData.Fuel_Scope1EmissionFactorsStationaryGaseous_Data(), Table_Fuel_EFs_StationaryGaseous[[#Headers],[Fuel combusted]],0)</f>
        <v>Liquefied natural gas</v>
      </c>
      <c r="E96" s="182" cm="1">
        <f t="array" ref="E96">Common_InputFunctions.Utility_DisplayArrayInTable(Fuel_SourceData.Fuel_Scope1EmissionFactorsStationaryGaseous_Data(), Table_Fuel_EFs_StationaryGaseous[[#Headers],[Fuel combusted]],0)</f>
        <v>25.3</v>
      </c>
      <c r="F96" s="182" t="str" cm="1">
        <f t="array" ref="F96">Common_InputFunctions.Utility_DisplayArrayInTable(Fuel_SourceData.Fuel_Scope1EmissionFactorsStationaryGaseous_Data(), Table_Fuel_EFs_StationaryGaseous[[#Headers],[Fuel combusted]],0)</f>
        <v>kL</v>
      </c>
      <c r="G96" s="182" cm="1">
        <f t="array" ref="G96">Common_InputFunctions.Utility_DisplayArrayInTable(Fuel_SourceData.Fuel_Scope1EmissionFactorsStationaryGaseous_Data(), Table_Fuel_EFs_StationaryGaseous[[#Headers],[Fuel combusted]],0)</f>
        <v>51.4</v>
      </c>
      <c r="H96" s="182" cm="1">
        <f t="array" ref="H96">Common_InputFunctions.Utility_DisplayArrayInTable(Fuel_SourceData.Fuel_Scope1EmissionFactorsStationaryGaseous_Data(), Table_Fuel_EFs_StationaryGaseous[[#Headers],[Fuel combusted]],0)</f>
        <v>0.1</v>
      </c>
      <c r="I96" s="182" cm="1">
        <f t="array" ref="I96">Common_InputFunctions.Utility_DisplayArrayInTable(Fuel_SourceData.Fuel_Scope1EmissionFactorsStationaryGaseous_Data(), Table_Fuel_EFs_StationaryGaseous[[#Headers],[Fuel combusted]],0)</f>
        <v>0.03</v>
      </c>
      <c r="J96" s="182" cm="1">
        <f t="array" ref="J96">Common_InputFunctions.Utility_DisplayArrayInTable(Fuel_SourceData.Fuel_Scope1EmissionFactorsStationaryGaseous_Data(), Table_Fuel_EFs_StationaryGaseous[[#Headers],[Fuel combusted]],0)</f>
        <v>51.53</v>
      </c>
      <c r="K96" s="154"/>
      <c r="L96" s="154"/>
    </row>
    <row r="97" spans="1:13" ht="20.100000000000001" customHeight="1" x14ac:dyDescent="0.2">
      <c r="D97" s="182" t="str" cm="1">
        <f t="array" ref="D97">Common_InputFunctions.Utility_DisplayArrayInTable(Fuel_SourceData.Fuel_Scope1EmissionFactorsStationaryGaseous_Data(), Table_Fuel_EFs_StationaryGaseous[[#Headers],[Fuel combusted]],0)</f>
        <v>Gaseous fossil fuels other than those mentioned in the items above</v>
      </c>
      <c r="E97" s="182" cm="1">
        <f t="array" ref="E97">Common_InputFunctions.Utility_DisplayArrayInTable(Fuel_SourceData.Fuel_Scope1EmissionFactorsStationaryGaseous_Data(), Table_Fuel_EFs_StationaryGaseous[[#Headers],[Fuel combusted]],0)</f>
        <v>3.9E-2</v>
      </c>
      <c r="F97" s="182" t="str" cm="1">
        <f t="array" ref="F97">Common_InputFunctions.Utility_DisplayArrayInTable(Fuel_SourceData.Fuel_Scope1EmissionFactorsStationaryGaseous_Data(), Table_Fuel_EFs_StationaryGaseous[[#Headers],[Fuel combusted]],0)</f>
        <v>m3</v>
      </c>
      <c r="G97" s="182" cm="1">
        <f t="array" ref="G97">Common_InputFunctions.Utility_DisplayArrayInTable(Fuel_SourceData.Fuel_Scope1EmissionFactorsStationaryGaseous_Data(), Table_Fuel_EFs_StationaryGaseous[[#Headers],[Fuel combusted]],0)</f>
        <v>51.4</v>
      </c>
      <c r="H97" s="182" cm="1">
        <f t="array" ref="H97">Common_InputFunctions.Utility_DisplayArrayInTable(Fuel_SourceData.Fuel_Scope1EmissionFactorsStationaryGaseous_Data(), Table_Fuel_EFs_StationaryGaseous[[#Headers],[Fuel combusted]],0)</f>
        <v>0.1</v>
      </c>
      <c r="I97" s="182" cm="1">
        <f t="array" ref="I97">Common_InputFunctions.Utility_DisplayArrayInTable(Fuel_SourceData.Fuel_Scope1EmissionFactorsStationaryGaseous_Data(), Table_Fuel_EFs_StationaryGaseous[[#Headers],[Fuel combusted]],0)</f>
        <v>0.03</v>
      </c>
      <c r="J97" s="182" cm="1">
        <f t="array" ref="J97">Common_InputFunctions.Utility_DisplayArrayInTable(Fuel_SourceData.Fuel_Scope1EmissionFactorsStationaryGaseous_Data(), Table_Fuel_EFs_StationaryGaseous[[#Headers],[Fuel combusted]],0)</f>
        <v>51.53</v>
      </c>
      <c r="K97" s="154"/>
      <c r="L97" s="154"/>
    </row>
    <row r="98" spans="1:13" ht="20.100000000000001" customHeight="1" x14ac:dyDescent="0.2">
      <c r="A98" s="79" t="str">
        <f>HYPERLINK("#A1", "▲ Back to top")</f>
        <v>▲ Back to top</v>
      </c>
      <c r="D98" s="182" t="str" cm="1">
        <f t="array" ref="D98">Common_InputFunctions.Utility_DisplayArrayInTable(Fuel_SourceData.Fuel_Scope1EmissionFactorsStationaryGaseous_Data(), Table_Fuel_EFs_StationaryGaseous[[#Headers],[Fuel combusted]],0)</f>
        <v>Landfill biogas that is captured for combustion (methane only)</v>
      </c>
      <c r="E98" s="182" cm="1">
        <f t="array" ref="E98">Common_InputFunctions.Utility_DisplayArrayInTable(Fuel_SourceData.Fuel_Scope1EmissionFactorsStationaryGaseous_Data(), Table_Fuel_EFs_StationaryGaseous[[#Headers],[Fuel combusted]],0)</f>
        <v>3.7699999999999997E-2</v>
      </c>
      <c r="F98" s="182" t="str" cm="1">
        <f t="array" ref="F98">Common_InputFunctions.Utility_DisplayArrayInTable(Fuel_SourceData.Fuel_Scope1EmissionFactorsStationaryGaseous_Data(), Table_Fuel_EFs_StationaryGaseous[[#Headers],[Fuel combusted]],0)</f>
        <v>m3</v>
      </c>
      <c r="G98" s="182" cm="1">
        <f t="array" ref="G98">Common_InputFunctions.Utility_DisplayArrayInTable(Fuel_SourceData.Fuel_Scope1EmissionFactorsStationaryGaseous_Data(), Table_Fuel_EFs_StationaryGaseous[[#Headers],[Fuel combusted]],0)</f>
        <v>0</v>
      </c>
      <c r="H98" s="182" cm="1">
        <f t="array" ref="H98">Common_InputFunctions.Utility_DisplayArrayInTable(Fuel_SourceData.Fuel_Scope1EmissionFactorsStationaryGaseous_Data(), Table_Fuel_EFs_StationaryGaseous[[#Headers],[Fuel combusted]],0)</f>
        <v>6.4</v>
      </c>
      <c r="I98" s="182" cm="1">
        <f t="array" ref="I98">Common_InputFunctions.Utility_DisplayArrayInTable(Fuel_SourceData.Fuel_Scope1EmissionFactorsStationaryGaseous_Data(), Table_Fuel_EFs_StationaryGaseous[[#Headers],[Fuel combusted]],0)</f>
        <v>0.03</v>
      </c>
      <c r="J98" s="182" cm="1">
        <f t="array" ref="J98">Common_InputFunctions.Utility_DisplayArrayInTable(Fuel_SourceData.Fuel_Scope1EmissionFactorsStationaryGaseous_Data(), Table_Fuel_EFs_StationaryGaseous[[#Headers],[Fuel combusted]],0)</f>
        <v>6.43</v>
      </c>
      <c r="K98" s="154"/>
      <c r="L98" s="154"/>
    </row>
    <row r="99" spans="1:13" ht="20.100000000000001" customHeight="1" x14ac:dyDescent="0.2">
      <c r="D99" s="182" t="str" cm="1">
        <f t="array" ref="D99">Common_InputFunctions.Utility_DisplayArrayInTable(Fuel_SourceData.Fuel_Scope1EmissionFactorsStationaryGaseous_Data(), Table_Fuel_EFs_StationaryGaseous[[#Headers],[Fuel combusted]],0)</f>
        <v>Sludge biogas that is captured for combustion (methane only)</v>
      </c>
      <c r="E99" s="182" cm="1">
        <f t="array" ref="E99">Common_InputFunctions.Utility_DisplayArrayInTable(Fuel_SourceData.Fuel_Scope1EmissionFactorsStationaryGaseous_Data(), Table_Fuel_EFs_StationaryGaseous[[#Headers],[Fuel combusted]],0)</f>
        <v>3.7699999999999997E-2</v>
      </c>
      <c r="F99" s="182" t="str" cm="1">
        <f t="array" ref="F99">Common_InputFunctions.Utility_DisplayArrayInTable(Fuel_SourceData.Fuel_Scope1EmissionFactorsStationaryGaseous_Data(), Table_Fuel_EFs_StationaryGaseous[[#Headers],[Fuel combusted]],0)</f>
        <v>m3</v>
      </c>
      <c r="G99" s="182" cm="1">
        <f t="array" ref="G99">Common_InputFunctions.Utility_DisplayArrayInTable(Fuel_SourceData.Fuel_Scope1EmissionFactorsStationaryGaseous_Data(), Table_Fuel_EFs_StationaryGaseous[[#Headers],[Fuel combusted]],0)</f>
        <v>0</v>
      </c>
      <c r="H99" s="182" cm="1">
        <f t="array" ref="H99">Common_InputFunctions.Utility_DisplayArrayInTable(Fuel_SourceData.Fuel_Scope1EmissionFactorsStationaryGaseous_Data(), Table_Fuel_EFs_StationaryGaseous[[#Headers],[Fuel combusted]],0)</f>
        <v>6.4</v>
      </c>
      <c r="I99" s="182" cm="1">
        <f t="array" ref="I99">Common_InputFunctions.Utility_DisplayArrayInTable(Fuel_SourceData.Fuel_Scope1EmissionFactorsStationaryGaseous_Data(), Table_Fuel_EFs_StationaryGaseous[[#Headers],[Fuel combusted]],0)</f>
        <v>0.03</v>
      </c>
      <c r="J99" s="182" cm="1">
        <f t="array" ref="J99">Common_InputFunctions.Utility_DisplayArrayInTable(Fuel_SourceData.Fuel_Scope1EmissionFactorsStationaryGaseous_Data(), Table_Fuel_EFs_StationaryGaseous[[#Headers],[Fuel combusted]],0)</f>
        <v>6.43</v>
      </c>
      <c r="K99" s="154"/>
      <c r="L99" s="154"/>
    </row>
    <row r="100" spans="1:13" ht="20.100000000000001" customHeight="1" x14ac:dyDescent="0.2">
      <c r="D100" s="182"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82" cm="1">
        <f t="array" ref="E100">Common_InputFunctions.Utility_DisplayArrayInTable(Fuel_SourceData.Fuel_Scope1EmissionFactorsStationaryGaseous_Data(), Table_Fuel_EFs_StationaryGaseous[[#Headers],[Fuel combusted]],0)</f>
        <v>3.6999999999999998E-2</v>
      </c>
      <c r="F100" s="182" t="str" cm="1">
        <f t="array" ref="F100">Common_InputFunctions.Utility_DisplayArrayInTable(Fuel_SourceData.Fuel_Scope1EmissionFactorsStationaryGaseous_Data(), Table_Fuel_EFs_StationaryGaseous[[#Headers],[Fuel combusted]],0)</f>
        <v>m3</v>
      </c>
      <c r="G100" s="182" cm="1">
        <f t="array" ref="G100">Common_InputFunctions.Utility_DisplayArrayInTable(Fuel_SourceData.Fuel_Scope1EmissionFactorsStationaryGaseous_Data(), Table_Fuel_EFs_StationaryGaseous[[#Headers],[Fuel combusted]],0)</f>
        <v>0</v>
      </c>
      <c r="H100" s="182" cm="1">
        <f t="array" ref="H100">Common_InputFunctions.Utility_DisplayArrayInTable(Fuel_SourceData.Fuel_Scope1EmissionFactorsStationaryGaseous_Data(), Table_Fuel_EFs_StationaryGaseous[[#Headers],[Fuel combusted]],0)</f>
        <v>6.4</v>
      </c>
      <c r="I100" s="182" cm="1">
        <f t="array" ref="I100">Common_InputFunctions.Utility_DisplayArrayInTable(Fuel_SourceData.Fuel_Scope1EmissionFactorsStationaryGaseous_Data(), Table_Fuel_EFs_StationaryGaseous[[#Headers],[Fuel combusted]],0)</f>
        <v>0.03</v>
      </c>
      <c r="J100" s="182" cm="1">
        <f t="array" ref="J100">Common_InputFunctions.Utility_DisplayArrayInTable(Fuel_SourceData.Fuel_Scope1EmissionFactorsStationaryGaseous_Data(), Table_Fuel_EFs_StationaryGaseous[[#Headers],[Fuel combusted]],0)</f>
        <v>6.43</v>
      </c>
      <c r="K100" s="154"/>
      <c r="L100" s="154"/>
    </row>
    <row r="101" spans="1:13" ht="20.100000000000001" customHeight="1" x14ac:dyDescent="0.2">
      <c r="D101" s="182" t="str" cm="1">
        <f t="array" ref="D101">Common_InputFunctions.Utility_DisplayArrayInTable(Fuel_SourceData.Fuel_Scope1EmissionFactorsStationaryGaseous_Data(), Table_Fuel_EFs_StationaryGaseous[[#Headers],[Fuel combusted]],0)</f>
        <v>Biomethane</v>
      </c>
      <c r="E101" s="182" cm="1">
        <f t="array" ref="E101">Common_InputFunctions.Utility_DisplayArrayInTable(Fuel_SourceData.Fuel_Scope1EmissionFactorsStationaryGaseous_Data(), Table_Fuel_EFs_StationaryGaseous[[#Headers],[Fuel combusted]],0)</f>
        <v>3.9300000000000002E-2</v>
      </c>
      <c r="F101" s="182" t="str" cm="1">
        <f t="array" ref="F101">Common_InputFunctions.Utility_DisplayArrayInTable(Fuel_SourceData.Fuel_Scope1EmissionFactorsStationaryGaseous_Data(), Table_Fuel_EFs_StationaryGaseous[[#Headers],[Fuel combusted]],0)</f>
        <v>m3</v>
      </c>
      <c r="G101" s="182" cm="1">
        <f t="array" ref="G101">Common_InputFunctions.Utility_DisplayArrayInTable(Fuel_SourceData.Fuel_Scope1EmissionFactorsStationaryGaseous_Data(), Table_Fuel_EFs_StationaryGaseous[[#Headers],[Fuel combusted]],0)</f>
        <v>0</v>
      </c>
      <c r="H101" s="182" cm="1">
        <f t="array" ref="H101">Common_InputFunctions.Utility_DisplayArrayInTable(Fuel_SourceData.Fuel_Scope1EmissionFactorsStationaryGaseous_Data(), Table_Fuel_EFs_StationaryGaseous[[#Headers],[Fuel combusted]],0)</f>
        <v>0.1</v>
      </c>
      <c r="I101" s="182" cm="1">
        <f t="array" ref="I101">Common_InputFunctions.Utility_DisplayArrayInTable(Fuel_SourceData.Fuel_Scope1EmissionFactorsStationaryGaseous_Data(), Table_Fuel_EFs_StationaryGaseous[[#Headers],[Fuel combusted]],0)</f>
        <v>0.03</v>
      </c>
      <c r="J101" s="182" cm="1">
        <f t="array" ref="J101">Common_InputFunctions.Utility_DisplayArrayInTable(Fuel_SourceData.Fuel_Scope1EmissionFactorsStationaryGaseous_Data(), Table_Fuel_EFs_StationaryGaseous[[#Headers],[Fuel combusted]],0)</f>
        <v>0.13</v>
      </c>
      <c r="K101" s="154"/>
      <c r="L101" s="154"/>
    </row>
    <row r="102" spans="1:13" ht="20.100000000000001" customHeight="1" x14ac:dyDescent="0.2">
      <c r="D102" s="182" t="str" cm="1">
        <f t="array" ref="D102">Common_InputFunctions.Utility_DisplayArrayInTable(Fuel_SourceData.Fuel_Scope1EmissionFactorsStationaryGaseous_Data(), Table_Fuel_EFs_StationaryGaseous[[#Headers],[Fuel combusted]],0)</f>
        <v>Hydrogen</v>
      </c>
      <c r="E102" s="182" cm="1">
        <f t="array" ref="E102">Common_InputFunctions.Utility_DisplayArrayInTable(Fuel_SourceData.Fuel_Scope1EmissionFactorsStationaryGaseous_Data(), Table_Fuel_EFs_StationaryGaseous[[#Headers],[Fuel combusted]],0)</f>
        <v>1.2200000000000001E-2</v>
      </c>
      <c r="F102" s="182" t="str" cm="1">
        <f t="array" ref="F102">Common_InputFunctions.Utility_DisplayArrayInTable(Fuel_SourceData.Fuel_Scope1EmissionFactorsStationaryGaseous_Data(), Table_Fuel_EFs_StationaryGaseous[[#Headers],[Fuel combusted]],0)</f>
        <v>m3</v>
      </c>
      <c r="G102" s="182" cm="1">
        <f t="array" ref="G102">Common_InputFunctions.Utility_DisplayArrayInTable(Fuel_SourceData.Fuel_Scope1EmissionFactorsStationaryGaseous_Data(), Table_Fuel_EFs_StationaryGaseous[[#Headers],[Fuel combusted]],0)</f>
        <v>0</v>
      </c>
      <c r="H102" s="182" cm="1">
        <f t="array" ref="H102">Common_InputFunctions.Utility_DisplayArrayInTable(Fuel_SourceData.Fuel_Scope1EmissionFactorsStationaryGaseous_Data(), Table_Fuel_EFs_StationaryGaseous[[#Headers],[Fuel combusted]],0)</f>
        <v>0</v>
      </c>
      <c r="I102" s="182" cm="1">
        <f t="array" ref="I102">Common_InputFunctions.Utility_DisplayArrayInTable(Fuel_SourceData.Fuel_Scope1EmissionFactorsStationaryGaseous_Data(), Table_Fuel_EFs_StationaryGaseous[[#Headers],[Fuel combusted]],0)</f>
        <v>0.5</v>
      </c>
      <c r="J102" s="182" cm="1">
        <f t="array" ref="J102">Common_InputFunctions.Utility_DisplayArrayInTable(Fuel_SourceData.Fuel_Scope1EmissionFactorsStationaryGaseous_Data(), Table_Fuel_EFs_StationaryGaseous[[#Headers],[Fuel combusted]],0)</f>
        <v>0.5</v>
      </c>
      <c r="K102" s="154"/>
      <c r="L102" s="154"/>
    </row>
    <row r="103" spans="1:13" ht="20.100000000000001" customHeight="1" x14ac:dyDescent="0.2">
      <c r="D103" s="182" t="str" cm="1">
        <f t="array" ref="D103">Common_InputFunctions.Utility_DisplayArrayInTable(Fuel_SourceData.Fuel_Scope1EmissionFactorsStationaryGaseous_Data(), Table_Fuel_EFs_StationaryGaseous[[#Headers],[Fuel combusted]],0)</f>
        <v>Natural gas distributed in a pipeline - Gigajoules</v>
      </c>
      <c r="E103" s="182" cm="1">
        <f t="array" ref="E103">Common_InputFunctions.Utility_DisplayArrayInTable(Fuel_SourceData.Fuel_Scope1EmissionFactorsStationaryGaseous_Data(), Table_Fuel_EFs_StationaryGaseous[[#Headers],[Fuel combusted]],0)</f>
        <v>1</v>
      </c>
      <c r="F103" s="182" t="str" cm="1">
        <f t="array" ref="F103">Common_InputFunctions.Utility_DisplayArrayInTable(Fuel_SourceData.Fuel_Scope1EmissionFactorsStationaryGaseous_Data(), Table_Fuel_EFs_StationaryGaseous[[#Headers],[Fuel combusted]],0)</f>
        <v>GJ</v>
      </c>
      <c r="G103" s="182" cm="1">
        <f t="array" ref="G103">Common_InputFunctions.Utility_DisplayArrayInTable(Fuel_SourceData.Fuel_Scope1EmissionFactorsStationaryGaseous_Data(), Table_Fuel_EFs_StationaryGaseous[[#Headers],[Fuel combusted]],0)</f>
        <v>51.4</v>
      </c>
      <c r="H103" s="182" cm="1">
        <f t="array" ref="H103">Common_InputFunctions.Utility_DisplayArrayInTable(Fuel_SourceData.Fuel_Scope1EmissionFactorsStationaryGaseous_Data(), Table_Fuel_EFs_StationaryGaseous[[#Headers],[Fuel combusted]],0)</f>
        <v>0.1</v>
      </c>
      <c r="I103" s="182" cm="1">
        <f t="array" ref="I103">Common_InputFunctions.Utility_DisplayArrayInTable(Fuel_SourceData.Fuel_Scope1EmissionFactorsStationaryGaseous_Data(), Table_Fuel_EFs_StationaryGaseous[[#Headers],[Fuel combusted]],0)</f>
        <v>0.03</v>
      </c>
      <c r="J103" s="182" cm="1">
        <f t="array" ref="J103">Common_InputFunctions.Utility_DisplayArrayInTable(Fuel_SourceData.Fuel_Scope1EmissionFactorsStationaryGaseous_Data(), Table_Fuel_EFs_StationaryGaseous[[#Headers],[Fuel combusted]],0)</f>
        <v>51.53</v>
      </c>
      <c r="K103" s="154"/>
      <c r="L103" s="154"/>
    </row>
    <row r="104" spans="1:13" ht="20.100000000000001" customHeight="1" x14ac:dyDescent="0.2">
      <c r="D104" s="182" t="str" cm="1">
        <f t="array" ref="D104">Common_InputFunctions.Utility_DisplayArrayInTable(Fuel_SourceData.Fuel_Scope1EmissionFactorsStationaryGaseous_Data(), Table_Fuel_EFs_StationaryGaseous[[#Headers],[Fuel combusted]],0)</f>
        <v>Town gas - Gigajoules</v>
      </c>
      <c r="E104" s="182" cm="1">
        <f t="array" ref="E104">Common_InputFunctions.Utility_DisplayArrayInTable(Fuel_SourceData.Fuel_Scope1EmissionFactorsStationaryGaseous_Data(), Table_Fuel_EFs_StationaryGaseous[[#Headers],[Fuel combusted]],0)</f>
        <v>1</v>
      </c>
      <c r="F104" s="182" t="str" cm="1">
        <f t="array" ref="F104">Common_InputFunctions.Utility_DisplayArrayInTable(Fuel_SourceData.Fuel_Scope1EmissionFactorsStationaryGaseous_Data(), Table_Fuel_EFs_StationaryGaseous[[#Headers],[Fuel combusted]],0)</f>
        <v>GJ</v>
      </c>
      <c r="G104" s="182" cm="1">
        <f t="array" ref="G104">Common_InputFunctions.Utility_DisplayArrayInTable(Fuel_SourceData.Fuel_Scope1EmissionFactorsStationaryGaseous_Data(), Table_Fuel_EFs_StationaryGaseous[[#Headers],[Fuel combusted]],0)</f>
        <v>60.2</v>
      </c>
      <c r="H104" s="182" cm="1">
        <f t="array" ref="H104">Common_InputFunctions.Utility_DisplayArrayInTable(Fuel_SourceData.Fuel_Scope1EmissionFactorsStationaryGaseous_Data(), Table_Fuel_EFs_StationaryGaseous[[#Headers],[Fuel combusted]],0)</f>
        <v>0.04</v>
      </c>
      <c r="I104" s="182" cm="1">
        <f t="array" ref="I104">Common_InputFunctions.Utility_DisplayArrayInTable(Fuel_SourceData.Fuel_Scope1EmissionFactorsStationaryGaseous_Data(), Table_Fuel_EFs_StationaryGaseous[[#Headers],[Fuel combusted]],0)</f>
        <v>0.03</v>
      </c>
      <c r="J104" s="182" cm="1">
        <f t="array" ref="J104">Common_InputFunctions.Utility_DisplayArrayInTable(Fuel_SourceData.Fuel_Scope1EmissionFactorsStationaryGaseous_Data(), Table_Fuel_EFs_StationaryGaseous[[#Headers],[Fuel combusted]],0)</f>
        <v>60.27</v>
      </c>
      <c r="K104" s="154"/>
      <c r="L104" s="154"/>
    </row>
    <row r="105" spans="1:13" ht="20.100000000000001" customHeight="1" x14ac:dyDescent="0.2">
      <c r="D105" s="154"/>
      <c r="E105" s="154"/>
      <c r="F105" s="154"/>
      <c r="G105" s="154"/>
      <c r="H105" s="154"/>
      <c r="I105" s="154"/>
      <c r="J105" s="154"/>
      <c r="K105" s="154"/>
      <c r="L105" s="154"/>
      <c r="M105" s="154"/>
    </row>
    <row r="106" spans="1:13" ht="20.100000000000001" customHeight="1" x14ac:dyDescent="0.2">
      <c r="D106" s="154"/>
      <c r="E106" s="154"/>
      <c r="F106" s="154"/>
      <c r="G106" s="154"/>
      <c r="H106" s="154"/>
      <c r="I106" s="154"/>
      <c r="J106" s="154"/>
      <c r="K106" s="154"/>
      <c r="L106" s="154"/>
      <c r="M106" s="154"/>
    </row>
    <row r="107" spans="1:13" ht="20.100000000000001" customHeight="1" x14ac:dyDescent="0.2">
      <c r="D107" s="2" t="str" cm="1">
        <f t="array" ref="D107">Fuel_SourceData.Fuel_Scope3EmissionFactorsStationaryGaseous_Title()</f>
        <v>Fuel scope 3 emission factors - Stationary gaseous fuels</v>
      </c>
      <c r="E107" s="154"/>
      <c r="F107" s="154"/>
      <c r="G107" s="154"/>
      <c r="H107" s="154"/>
      <c r="I107" s="154"/>
      <c r="J107" s="154"/>
      <c r="K107" s="154"/>
      <c r="L107" s="154"/>
    </row>
    <row r="108" spans="1:13" ht="20.100000000000001" customHeight="1" x14ac:dyDescent="0.2">
      <c r="D108" s="1" t="str" cm="1">
        <f t="array" ref="D108">Fuel_SourceData.Fuel_Scope3EmissionFactorsStationaryGaseous_Description()</f>
        <v>Indirect (Scope 3) emission factors for the consumption of natural gas.</v>
      </c>
      <c r="E108" s="154"/>
      <c r="F108" s="154"/>
      <c r="G108" s="154"/>
      <c r="H108" s="154"/>
      <c r="I108" s="154"/>
      <c r="J108" s="154"/>
      <c r="K108" s="154"/>
      <c r="L108" s="154"/>
    </row>
    <row r="109" spans="1:13" ht="20.100000000000001" customHeight="1" x14ac:dyDescent="0.2">
      <c r="D109" s="17" t="str" cm="1">
        <f t="array" ref="D109">Fuel_SourceData.Fuel_Scope3EmissionFactorsStationaryGaseous_Source()</f>
        <v>Australian National Greenhouse Accounts Factors 2025 - Table 6</v>
      </c>
      <c r="E109" s="154"/>
      <c r="F109" s="154"/>
      <c r="G109" s="154"/>
      <c r="H109" s="154"/>
      <c r="I109" s="154"/>
      <c r="J109" s="154"/>
      <c r="K109" s="154"/>
      <c r="L109" s="154"/>
    </row>
    <row r="110" spans="1:13" ht="20.100000000000001" customHeight="1" x14ac:dyDescent="0.2">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4"/>
      <c r="F110" s="154"/>
      <c r="G110" s="154"/>
      <c r="H110" s="154"/>
      <c r="I110" s="154"/>
      <c r="J110" s="154"/>
      <c r="K110" s="154"/>
      <c r="L110" s="154"/>
    </row>
    <row r="111" spans="1:13" ht="20.100000000000001" customHeight="1" x14ac:dyDescent="0.2">
      <c r="D111" s="154"/>
      <c r="E111" s="154"/>
      <c r="F111" s="154"/>
      <c r="G111" s="154"/>
      <c r="H111" s="154"/>
      <c r="I111" s="154"/>
      <c r="J111" s="154"/>
      <c r="K111" s="154"/>
      <c r="L111" s="154"/>
    </row>
    <row r="112" spans="1:13" ht="20.100000000000001" customHeight="1" x14ac:dyDescent="0.2">
      <c r="D112" s="147" t="s">
        <v>655</v>
      </c>
      <c r="E112" s="181" t="s">
        <v>590</v>
      </c>
      <c r="F112" s="181" t="s">
        <v>656</v>
      </c>
      <c r="G112" s="154"/>
      <c r="H112" s="75" t="s">
        <v>657</v>
      </c>
      <c r="I112" s="154"/>
      <c r="J112" s="154"/>
      <c r="K112" s="154"/>
      <c r="L112" s="154"/>
    </row>
    <row r="113" spans="1:13" ht="20.100000000000001" customHeight="1" x14ac:dyDescent="0.2">
      <c r="D113" s="184" t="str" cm="1">
        <f t="array" ref="D113">Common_InputFunctions.Utility_DisplayArrayInTable(Fuel_SourceData.Fuel_Scope3EmissionFactorsStationaryGaseous_Data(), Table_Fuel_EFs_StationaryGaseous34[[#Headers],[State or territory]],0)</f>
        <v>New South Wales</v>
      </c>
      <c r="E113" s="184" cm="1">
        <f t="array" ref="E113">Common_InputFunctions.Utility_DisplayArrayInTable(Fuel_SourceData.Fuel_Scope3EmissionFactorsStationaryGaseous_Data(), Table_Fuel_EFs_StationaryGaseous34[[#Headers],[State or territory]],0)</f>
        <v>13.1</v>
      </c>
      <c r="F113" s="184" cm="1">
        <f t="array" ref="F113">Common_InputFunctions.Utility_DisplayArrayInTable(Fuel_SourceData.Fuel_Scope3EmissionFactorsStationaryGaseous_Data(), Table_Fuel_EFs_StationaryGaseous34[[#Headers],[State or territory]],0)</f>
        <v>14</v>
      </c>
      <c r="G113" s="185"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54"/>
      <c r="J113" s="154"/>
      <c r="K113" s="154"/>
      <c r="L113" s="154"/>
    </row>
    <row r="114" spans="1:13" ht="20.100000000000001" customHeight="1" x14ac:dyDescent="0.2">
      <c r="D114" s="184" t="str" cm="1">
        <f t="array" ref="D114">Common_InputFunctions.Utility_DisplayArrayInTable(Fuel_SourceData.Fuel_Scope3EmissionFactorsStationaryGaseous_Data(), Table_Fuel_EFs_StationaryGaseous34[[#Headers],[State or territory]],0)</f>
        <v>ACT</v>
      </c>
      <c r="E114" s="184" cm="1">
        <f t="array" ref="E114">Common_InputFunctions.Utility_DisplayArrayInTable(Fuel_SourceData.Fuel_Scope3EmissionFactorsStationaryGaseous_Data(), Table_Fuel_EFs_StationaryGaseous34[[#Headers],[State or territory]],0)</f>
        <v>13.1</v>
      </c>
      <c r="F114" s="184" cm="1">
        <f t="array" ref="F114">Common_InputFunctions.Utility_DisplayArrayInTable(Fuel_SourceData.Fuel_Scope3EmissionFactorsStationaryGaseous_Data(), Table_Fuel_EFs_StationaryGaseous34[[#Headers],[State or territory]],0)</f>
        <v>14</v>
      </c>
      <c r="G114" s="185" t="str">
        <v/>
      </c>
      <c r="H114" s="1" t="str">
        <v>Gas reaches end users either from the metro distribution networks or direct from the high - pressure distribution pipelines.</v>
      </c>
      <c r="I114" s="154"/>
      <c r="J114" s="154"/>
      <c r="K114" s="154"/>
      <c r="L114" s="154"/>
    </row>
    <row r="115" spans="1:13" ht="20.100000000000001" customHeight="1" x14ac:dyDescent="0.2">
      <c r="D115" s="184" t="str" cm="1">
        <f t="array" ref="D115">Common_InputFunctions.Utility_DisplayArrayInTable(Fuel_SourceData.Fuel_Scope3EmissionFactorsStationaryGaseous_Data(), Table_Fuel_EFs_StationaryGaseous34[[#Headers],[State or territory]],0)</f>
        <v>Victoria</v>
      </c>
      <c r="E115" s="184" cm="1">
        <f t="array" ref="E115">Common_InputFunctions.Utility_DisplayArrayInTable(Fuel_SourceData.Fuel_Scope3EmissionFactorsStationaryGaseous_Data(), Table_Fuel_EFs_StationaryGaseous34[[#Headers],[State or territory]],0)</f>
        <v>4</v>
      </c>
      <c r="F115" s="184" cm="1">
        <f t="array" ref="F115">Common_InputFunctions.Utility_DisplayArrayInTable(Fuel_SourceData.Fuel_Scope3EmissionFactorsStationaryGaseous_Data(), Table_Fuel_EFs_StationaryGaseous34[[#Headers],[State or territory]],0)</f>
        <v>4</v>
      </c>
      <c r="G115" s="185" t="str">
        <v/>
      </c>
      <c r="H115" s="1" t="str">
        <v>Households and commercial users tend to be served by the former, and electricity generators and large industrial plants from the latter.</v>
      </c>
      <c r="I115" s="154"/>
      <c r="J115" s="154"/>
      <c r="K115" s="154"/>
      <c r="L115" s="154"/>
    </row>
    <row r="116" spans="1:13" ht="20.100000000000001" customHeight="1" x14ac:dyDescent="0.2">
      <c r="D116" s="184" t="str" cm="1">
        <f t="array" ref="D116">Common_InputFunctions.Utility_DisplayArrayInTable(Fuel_SourceData.Fuel_Scope3EmissionFactorsStationaryGaseous_Data(), Table_Fuel_EFs_StationaryGaseous34[[#Headers],[State or territory]],0)</f>
        <v>Queensland</v>
      </c>
      <c r="E116" s="184" cm="1">
        <f t="array" ref="E116">Common_InputFunctions.Utility_DisplayArrayInTable(Fuel_SourceData.Fuel_Scope3EmissionFactorsStationaryGaseous_Data(), Table_Fuel_EFs_StationaryGaseous34[[#Headers],[State or territory]],0)</f>
        <v>8.8000000000000007</v>
      </c>
      <c r="F116" s="184" cm="1">
        <f t="array" ref="F116">Common_InputFunctions.Utility_DisplayArrayInTable(Fuel_SourceData.Fuel_Scope3EmissionFactorsStationaryGaseous_Data(), Table_Fuel_EFs_StationaryGaseous34[[#Headers],[State or territory]],0)</f>
        <v>7.9</v>
      </c>
      <c r="G116" s="185" t="str">
        <v>-</v>
      </c>
      <c r="H116" s="1" t="str">
        <v>Metro is defined as located on or east of the dividing range in NSW, including Canberra and Queanbeyan, Melbourne, Brisbane, Adelaide or Perth.</v>
      </c>
      <c r="I116" s="154"/>
      <c r="J116" s="154"/>
      <c r="K116" s="154"/>
      <c r="L116" s="154"/>
    </row>
    <row r="117" spans="1:13" ht="20.100000000000001" customHeight="1" x14ac:dyDescent="0.2">
      <c r="D117" s="184" t="str" cm="1">
        <f t="array" ref="D117">Common_InputFunctions.Utility_DisplayArrayInTable(Fuel_SourceData.Fuel_Scope3EmissionFactorsStationaryGaseous_Data(), Table_Fuel_EFs_StationaryGaseous34[[#Headers],[State or territory]],0)</f>
        <v>South Australia</v>
      </c>
      <c r="E117" s="184" cm="1">
        <f t="array" ref="E117">Common_InputFunctions.Utility_DisplayArrayInTable(Fuel_SourceData.Fuel_Scope3EmissionFactorsStationaryGaseous_Data(), Table_Fuel_EFs_StationaryGaseous34[[#Headers],[State or territory]],0)</f>
        <v>10.7</v>
      </c>
      <c r="F117" s="184" cm="1">
        <f t="array" ref="F117">Common_InputFunctions.Utility_DisplayArrayInTable(Fuel_SourceData.Fuel_Scope3EmissionFactorsStationaryGaseous_Data(), Table_Fuel_EFs_StationaryGaseous34[[#Headers],[State or territory]],0)</f>
        <v>10.6</v>
      </c>
      <c r="G117" s="185" t="str">
        <v/>
      </c>
      <c r="H117" s="1" t="str">
        <v>Otherwise, the non - metro factor should be used.</v>
      </c>
      <c r="I117" s="154"/>
      <c r="J117" s="154"/>
      <c r="K117" s="154"/>
      <c r="L117" s="154"/>
    </row>
    <row r="118" spans="1:13" ht="20.100000000000001" customHeight="1" x14ac:dyDescent="0.2">
      <c r="D118" s="184" t="str" cm="1">
        <f t="array" ref="D118">Common_InputFunctions.Utility_DisplayArrayInTable(Fuel_SourceData.Fuel_Scope3EmissionFactorsStationaryGaseous_Data(), Table_Fuel_EFs_StationaryGaseous34[[#Headers],[State or territory]],0)</f>
        <v>Western Australia</v>
      </c>
      <c r="E118" s="184" cm="1">
        <f t="array" ref="E118">Common_InputFunctions.Utility_DisplayArrayInTable(Fuel_SourceData.Fuel_Scope3EmissionFactorsStationaryGaseous_Data(), Table_Fuel_EFs_StationaryGaseous34[[#Headers],[State or territory]],0)</f>
        <v>4.0999999999999996</v>
      </c>
      <c r="F118" s="184" cm="1">
        <f t="array" ref="F118">Common_InputFunctions.Utility_DisplayArrayInTable(Fuel_SourceData.Fuel_Scope3EmissionFactorsStationaryGaseous_Data(), Table_Fuel_EFs_StationaryGaseous34[[#Headers],[State or territory]],0)</f>
        <v>4</v>
      </c>
      <c r="G118" s="185" t="str">
        <v>-</v>
      </c>
      <c r="H118" s="1" t="str">
        <v>Factors are calculated for all natural gas distributed in a pipeline which may include coal seam methane.</v>
      </c>
      <c r="I118" s="154"/>
      <c r="J118" s="154"/>
      <c r="K118" s="154"/>
      <c r="L118" s="154"/>
    </row>
    <row r="119" spans="1:13" ht="20.100000000000001" customHeight="1" x14ac:dyDescent="0.2">
      <c r="D119" s="184" t="str" cm="1">
        <f t="array" ref="D119">Common_InputFunctions.Utility_DisplayArrayInTable(Fuel_SourceData.Fuel_Scope3EmissionFactorsStationaryGaseous_Data(), Table_Fuel_EFs_StationaryGaseous34[[#Headers],[State or territory]],0)</f>
        <v>Tasmania</v>
      </c>
      <c r="E119" s="184" cm="1">
        <f t="array" ref="E119">Common_InputFunctions.Utility_DisplayArrayInTable(Fuel_SourceData.Fuel_Scope3EmissionFactorsStationaryGaseous_Data(), Table_Fuel_EFs_StationaryGaseous34[[#Headers],[State or territory]],0)</f>
        <v>4</v>
      </c>
      <c r="F119" s="184" cm="1">
        <f t="array" ref="F119">Common_InputFunctions.Utility_DisplayArrayInTable(Fuel_SourceData.Fuel_Scope3EmissionFactorsStationaryGaseous_Data(), Table_Fuel_EFs_StationaryGaseous34[[#Headers],[State or territory]],0)</f>
        <v>4</v>
      </c>
      <c r="G119" s="185" t="str">
        <v>-</v>
      </c>
      <c r="H119" s="1" t="str">
        <v>Table 6 is not applicable to ethane. See Table 7 Indirect (Scope 3) emissions from the consumption of ethane.</v>
      </c>
      <c r="I119" s="154"/>
      <c r="J119" s="154"/>
      <c r="K119" s="154"/>
      <c r="L119" s="154"/>
    </row>
    <row r="120" spans="1:13" ht="20.100000000000001" customHeight="1" x14ac:dyDescent="0.2">
      <c r="D120" s="184" t="str" cm="1">
        <f t="array" ref="D120">Common_InputFunctions.Utility_DisplayArrayInTable(Fuel_SourceData.Fuel_Scope3EmissionFactorsStationaryGaseous_Data(), Table_Fuel_EFs_StationaryGaseous34[[#Headers],[State or territory]],0)</f>
        <v>Northern Territory</v>
      </c>
      <c r="E120" s="184" cm="1">
        <f t="array" ref="E120">Common_InputFunctions.Utility_DisplayArrayInTable(Fuel_SourceData.Fuel_Scope3EmissionFactorsStationaryGaseous_Data(), Table_Fuel_EFs_StationaryGaseous34[[#Headers],[State or territory]],0)</f>
        <v>4.0999999999999996</v>
      </c>
      <c r="F120" s="184" cm="1">
        <f t="array" ref="F120">Common_InputFunctions.Utility_DisplayArrayInTable(Fuel_SourceData.Fuel_Scope3EmissionFactorsStationaryGaseous_Data(), Table_Fuel_EFs_StationaryGaseous34[[#Headers],[State or territory]],0)</f>
        <v>4</v>
      </c>
      <c r="G120" s="185" t="str">
        <v>-</v>
      </c>
      <c r="H120" s="1" t="str">
        <v>C = Confidential. Scope 3 emission factors for Tasmania and the Northern Territory are not available due to confidentiality constraints that arise</v>
      </c>
      <c r="I120" s="154"/>
      <c r="J120" s="154"/>
      <c r="K120" s="154"/>
      <c r="L120" s="154"/>
    </row>
    <row r="121" spans="1:13" ht="20.100000000000001" customHeight="1" x14ac:dyDescent="0.2">
      <c r="D121" s="8"/>
      <c r="E121" s="8"/>
      <c r="F121" s="8"/>
      <c r="G121" s="185" t="str">
        <v/>
      </c>
      <c r="H121" s="1" t="str">
        <v>from the use of a limited number of NGER data inputs. It is suggested that for Tasmania the use of the Victorian emission factors is appropriate,</v>
      </c>
      <c r="I121" s="154"/>
      <c r="J121" s="154"/>
      <c r="K121" s="154"/>
      <c r="L121" s="154"/>
    </row>
    <row r="122" spans="1:13" ht="20.100000000000001" customHeight="1" x14ac:dyDescent="0.2">
      <c r="D122" s="154"/>
      <c r="F122" s="186"/>
      <c r="G122" s="185" t="str">
        <v/>
      </c>
      <c r="H122" s="1" t="str">
        <v>while for Northern Territory the use of the Western Australian emission factors is appropriate.</v>
      </c>
      <c r="I122" s="154"/>
      <c r="J122" s="154"/>
      <c r="K122" s="154"/>
      <c r="L122" s="154"/>
    </row>
    <row r="123" spans="1:13" ht="20.100000000000001" customHeight="1" x14ac:dyDescent="0.2">
      <c r="D123" s="187"/>
      <c r="F123" s="186"/>
      <c r="G123" s="185" t="str">
        <v>-</v>
      </c>
      <c r="H123" s="1" t="str">
        <v>Scope 3 emission factors do not include fugitive emission leakage from low pressure natural gas distribution pipeline networks while those from high pressure</v>
      </c>
      <c r="I123" s="154"/>
      <c r="J123" s="154"/>
      <c r="K123" s="154"/>
      <c r="L123" s="154"/>
    </row>
    <row r="124" spans="1:13" ht="20.100000000000001" customHeight="1" x14ac:dyDescent="0.2">
      <c r="D124" s="187"/>
      <c r="F124" s="186"/>
      <c r="G124" s="154" t="str">
        <v/>
      </c>
      <c r="H124" s="1" t="str">
        <v>gas networks are considered negligible.</v>
      </c>
      <c r="I124" s="154"/>
      <c r="J124" s="154"/>
      <c r="K124" s="154"/>
      <c r="L124" s="154"/>
    </row>
    <row r="125" spans="1:13" ht="20.100000000000001" customHeight="1" x14ac:dyDescent="0.2">
      <c r="D125" s="187"/>
      <c r="F125" s="186"/>
      <c r="G125" s="154"/>
      <c r="H125" s="154"/>
      <c r="I125" s="154"/>
      <c r="J125" s="154"/>
      <c r="K125" s="154"/>
      <c r="L125" s="154"/>
    </row>
    <row r="126" spans="1:13" ht="20.100000000000001" customHeight="1" x14ac:dyDescent="0.2">
      <c r="D126" s="154"/>
      <c r="E126" s="154"/>
      <c r="F126" s="154"/>
      <c r="G126" s="154"/>
      <c r="H126" s="154"/>
      <c r="I126" s="154"/>
      <c r="J126" s="154"/>
      <c r="K126" s="154"/>
      <c r="L126" s="154"/>
      <c r="M126" s="154"/>
    </row>
    <row r="127" spans="1:13" ht="20.100000000000001" customHeight="1" x14ac:dyDescent="0.2">
      <c r="D127" s="154"/>
      <c r="E127" s="154"/>
      <c r="F127" s="154"/>
      <c r="G127" s="154"/>
      <c r="H127" s="154"/>
      <c r="I127" s="154"/>
      <c r="J127" s="154"/>
      <c r="K127" s="154"/>
      <c r="L127" s="154"/>
      <c r="M127" s="154"/>
    </row>
    <row r="128" spans="1:13" ht="20.100000000000001" customHeight="1" x14ac:dyDescent="0.2">
      <c r="A128" s="79" t="str">
        <f>HYPERLINK("#A1", "▲ Back to top")</f>
        <v>▲ Back to top</v>
      </c>
      <c r="D128" s="154"/>
      <c r="E128" s="154"/>
      <c r="F128" s="154"/>
      <c r="G128" s="154"/>
      <c r="H128" s="154"/>
      <c r="I128" s="154"/>
      <c r="J128" s="154"/>
      <c r="K128" s="154"/>
      <c r="L128" s="154"/>
      <c r="M128" s="154"/>
    </row>
    <row r="129" spans="4:33" ht="20.100000000000001" customHeight="1" x14ac:dyDescent="0.2">
      <c r="D129" s="188"/>
      <c r="E129" s="154"/>
      <c r="F129" s="154"/>
      <c r="G129" s="154"/>
      <c r="H129" s="154"/>
      <c r="I129" s="154"/>
      <c r="J129" s="154"/>
      <c r="K129" s="154"/>
      <c r="L129" s="154"/>
    </row>
    <row r="130" spans="4:33" ht="20.100000000000001" customHeight="1" x14ac:dyDescent="0.2">
      <c r="D130" s="189" t="s">
        <v>658</v>
      </c>
      <c r="E130" s="189" t="s">
        <v>599</v>
      </c>
      <c r="F130" s="189" t="s">
        <v>659</v>
      </c>
      <c r="G130" s="189" t="s">
        <v>602</v>
      </c>
      <c r="H130" s="189" t="s">
        <v>604</v>
      </c>
      <c r="I130" s="189" t="s">
        <v>605</v>
      </c>
      <c r="J130" s="154"/>
      <c r="K130" s="154"/>
      <c r="L130" s="154"/>
    </row>
    <row r="131" spans="4:33" ht="20.100000000000001" customHeight="1" x14ac:dyDescent="0.2">
      <c r="D131" s="190" t="str">
        <f>$D$143</f>
        <v>Petrol</v>
      </c>
      <c r="E131" s="190" t="str">
        <f>$D$143</f>
        <v>Petrol</v>
      </c>
      <c r="F131" s="190" t="str">
        <f>$D$150</f>
        <v>Avgas</v>
      </c>
      <c r="G131" s="190" t="str">
        <f>$D$143</f>
        <v>Petrol</v>
      </c>
      <c r="H131" s="190" t="str">
        <f>$D$144</f>
        <v>Diesel</v>
      </c>
      <c r="I131" s="190" t="str">
        <f>$D$143</f>
        <v>Petrol</v>
      </c>
      <c r="J131" s="154"/>
      <c r="K131" s="154"/>
      <c r="L131" s="154"/>
    </row>
    <row r="132" spans="4:33" ht="20.100000000000001" customHeight="1" x14ac:dyDescent="0.2">
      <c r="D132" s="190" t="str">
        <f>$D$144</f>
        <v>Diesel</v>
      </c>
      <c r="E132" s="190" t="str">
        <f>$D$144</f>
        <v>Diesel</v>
      </c>
      <c r="F132" s="190" t="str">
        <f>$D$151</f>
        <v>Jet A1, Jet B</v>
      </c>
      <c r="G132" s="190" t="str">
        <f>$D$144</f>
        <v>Diesel</v>
      </c>
      <c r="H132" s="190"/>
      <c r="I132" s="190" t="str">
        <f>$D$144</f>
        <v>Diesel</v>
      </c>
      <c r="J132" s="154"/>
      <c r="K132" s="154"/>
      <c r="L132" s="154"/>
    </row>
    <row r="133" spans="4:33" ht="20.100000000000001" customHeight="1" x14ac:dyDescent="0.2">
      <c r="D133" s="190" t="str">
        <f>$D$145</f>
        <v>Liquefied petroleum gas (LPG)</v>
      </c>
      <c r="E133" s="190" t="str">
        <f>$D$145</f>
        <v>Liquefied petroleum gas (LPG)</v>
      </c>
      <c r="F133" s="190" t="str">
        <f>$D$152</f>
        <v>Renewable aviation kerosene</v>
      </c>
      <c r="G133" s="190" t="str">
        <f>$D$145</f>
        <v>Liquefied petroleum gas (LPG)</v>
      </c>
      <c r="H133" s="190"/>
      <c r="I133" s="190" t="s">
        <v>606</v>
      </c>
      <c r="J133" s="154"/>
      <c r="K133" s="154"/>
      <c r="L133" s="154"/>
    </row>
    <row r="134" spans="4:33" ht="20.100000000000001" customHeight="1" x14ac:dyDescent="0.2">
      <c r="D134" s="190" t="str">
        <f>$D$146</f>
        <v>Biodiesel</v>
      </c>
      <c r="E134" s="190" t="str">
        <f>$D$146</f>
        <v>Biodiesel</v>
      </c>
      <c r="F134" s="189"/>
      <c r="G134" s="190" t="str">
        <f>$D$160</f>
        <v>Fuel oil</v>
      </c>
      <c r="H134" s="190"/>
      <c r="I134" s="190"/>
      <c r="J134" s="154"/>
      <c r="K134" s="154"/>
      <c r="L134" s="154"/>
    </row>
    <row r="135" spans="4:33" ht="20.100000000000001" customHeight="1" x14ac:dyDescent="0.2">
      <c r="D135" s="190" t="str">
        <f>$D$147</f>
        <v>Ethanol</v>
      </c>
      <c r="E135" s="190" t="str">
        <f>$D$147</f>
        <v>Ethanol</v>
      </c>
      <c r="F135" s="189"/>
      <c r="G135" s="190" t="str">
        <f>$D$147</f>
        <v>Ethanol</v>
      </c>
      <c r="H135" s="190"/>
      <c r="I135" s="190"/>
      <c r="J135" s="154"/>
      <c r="K135" s="154"/>
      <c r="L135" s="154"/>
    </row>
    <row r="136" spans="4:33" ht="20.100000000000001" customHeight="1" x14ac:dyDescent="0.2">
      <c r="D136" s="190" t="str">
        <f>$D$148</f>
        <v>Other biofuels</v>
      </c>
      <c r="E136" s="190" t="str">
        <f>$D$148</f>
        <v>Other biofuels</v>
      </c>
      <c r="F136" s="189"/>
      <c r="G136" s="190" t="str">
        <f>$D$146</f>
        <v>Biodiesel</v>
      </c>
      <c r="H136" s="190"/>
      <c r="I136" s="190"/>
      <c r="J136" s="154"/>
      <c r="K136" s="154"/>
      <c r="L136" s="154"/>
    </row>
    <row r="137" spans="4:33" ht="20.100000000000001" customHeight="1" x14ac:dyDescent="0.2">
      <c r="D137" s="190" t="str">
        <f>$D$149</f>
        <v>Renewable diesel</v>
      </c>
      <c r="E137" s="190" t="str">
        <f>$D$149</f>
        <v>Renewable diesel</v>
      </c>
      <c r="F137" s="189"/>
      <c r="G137" s="190" t="str">
        <f>$D$149</f>
        <v>Renewable diesel</v>
      </c>
      <c r="H137" s="190"/>
      <c r="I137" s="190"/>
      <c r="J137" s="154"/>
      <c r="K137" s="154"/>
      <c r="L137" s="154"/>
    </row>
    <row r="138" spans="4:33" ht="20.100000000000001" customHeight="1" x14ac:dyDescent="0.2">
      <c r="D138" s="189"/>
      <c r="E138" s="191" t="str">
        <f>$D$161</f>
        <v>Natural gas (via pipeline) in GJ</v>
      </c>
      <c r="F138" s="191"/>
      <c r="G138" s="190" t="str">
        <f>$D$148</f>
        <v>Other biofuels</v>
      </c>
      <c r="H138" s="190"/>
      <c r="I138" s="190"/>
      <c r="J138" s="154"/>
      <c r="K138" s="154"/>
      <c r="L138" s="154"/>
    </row>
    <row r="139" spans="4:33" ht="20.100000000000001" customHeight="1" x14ac:dyDescent="0.2">
      <c r="D139" s="191"/>
      <c r="E139" s="191" t="str">
        <f>$D$162</f>
        <v>Town gas in GJ</v>
      </c>
      <c r="F139" s="191"/>
      <c r="G139" s="191"/>
      <c r="H139" s="191"/>
      <c r="I139" s="191"/>
      <c r="J139" s="154"/>
      <c r="K139" s="154"/>
      <c r="L139" s="154"/>
    </row>
    <row r="140" spans="4:33" ht="20.100000000000001" customHeight="1" x14ac:dyDescent="0.2">
      <c r="D140" s="154"/>
      <c r="E140" s="154"/>
      <c r="F140" s="154"/>
      <c r="G140" s="154"/>
      <c r="H140" s="154"/>
      <c r="I140" s="154"/>
      <c r="J140" s="154"/>
      <c r="K140" s="154"/>
      <c r="L140" s="154"/>
    </row>
    <row r="141" spans="4:33" ht="20.100000000000001" customHeight="1" x14ac:dyDescent="0.2">
      <c r="D141" s="154"/>
      <c r="E141" s="154"/>
      <c r="F141" s="154"/>
      <c r="G141" s="154"/>
      <c r="H141" s="154"/>
      <c r="I141" s="154"/>
      <c r="J141" s="154"/>
      <c r="K141" s="154"/>
      <c r="L141" s="154"/>
    </row>
    <row r="142" spans="4:33" ht="20.100000000000001" customHeight="1" x14ac:dyDescent="0.2">
      <c r="D142" t="s">
        <v>660</v>
      </c>
      <c r="E142" t="s">
        <v>118</v>
      </c>
      <c r="F142" t="s">
        <v>661</v>
      </c>
      <c r="G142" s="154"/>
      <c r="H142" s="154"/>
      <c r="I142" s="154"/>
      <c r="J142" s="154"/>
      <c r="K142" s="154"/>
      <c r="L142" s="154"/>
      <c r="M142" s="154"/>
      <c r="AG142" s="1"/>
    </row>
    <row r="143" spans="4:33" ht="20.100000000000001" customHeight="1" x14ac:dyDescent="0.2">
      <c r="D143" s="190" t="s">
        <v>601</v>
      </c>
      <c r="E143" t="s">
        <v>662</v>
      </c>
      <c r="F143" t="s">
        <v>663</v>
      </c>
      <c r="G143" s="154"/>
      <c r="H143" s="154"/>
      <c r="I143" s="154"/>
      <c r="J143" s="154"/>
      <c r="K143" s="154"/>
      <c r="L143" s="154"/>
      <c r="M143" s="154"/>
      <c r="AG143" s="1"/>
    </row>
    <row r="144" spans="4:33" ht="20.100000000000001" customHeight="1" x14ac:dyDescent="0.2">
      <c r="D144" s="190" t="s">
        <v>603</v>
      </c>
      <c r="E144" t="s">
        <v>662</v>
      </c>
      <c r="F144" t="s">
        <v>663</v>
      </c>
      <c r="G144" s="154"/>
      <c r="H144" s="154"/>
      <c r="I144" s="154"/>
      <c r="J144" s="154"/>
      <c r="K144" s="154"/>
      <c r="L144" s="154"/>
      <c r="M144" s="154"/>
      <c r="AG144" s="1"/>
    </row>
    <row r="145" spans="1:33" ht="20.100000000000001" customHeight="1" x14ac:dyDescent="0.2">
      <c r="D145" s="190" t="s">
        <v>664</v>
      </c>
      <c r="E145" t="s">
        <v>662</v>
      </c>
      <c r="F145" t="s">
        <v>663</v>
      </c>
      <c r="G145" s="154"/>
      <c r="H145" s="154"/>
      <c r="I145" s="154"/>
      <c r="J145" s="154"/>
      <c r="K145" s="154"/>
      <c r="L145" s="154"/>
      <c r="M145" s="154"/>
      <c r="AG145" s="1"/>
    </row>
    <row r="146" spans="1:33" ht="20.100000000000001" customHeight="1" x14ac:dyDescent="0.2">
      <c r="D146" s="190" t="s">
        <v>665</v>
      </c>
      <c r="E146" t="s">
        <v>662</v>
      </c>
      <c r="F146" t="s">
        <v>663</v>
      </c>
      <c r="G146" s="154"/>
      <c r="H146" s="154"/>
      <c r="I146" s="154"/>
      <c r="J146" s="154"/>
      <c r="K146" s="154"/>
      <c r="L146" s="154"/>
      <c r="M146" s="154"/>
      <c r="AG146" s="1"/>
    </row>
    <row r="147" spans="1:33" ht="20.100000000000001" customHeight="1" x14ac:dyDescent="0.2">
      <c r="D147" s="190" t="s">
        <v>666</v>
      </c>
      <c r="E147" t="s">
        <v>662</v>
      </c>
      <c r="F147" t="s">
        <v>663</v>
      </c>
      <c r="G147" s="154"/>
      <c r="H147" s="154"/>
      <c r="I147" s="154"/>
      <c r="J147" s="154"/>
      <c r="K147" s="154"/>
      <c r="L147" s="154"/>
      <c r="M147" s="154"/>
      <c r="AG147" s="1"/>
    </row>
    <row r="148" spans="1:33" ht="20.100000000000001" customHeight="1" x14ac:dyDescent="0.2">
      <c r="D148" s="190" t="s">
        <v>667</v>
      </c>
      <c r="E148" t="s">
        <v>662</v>
      </c>
      <c r="F148" t="s">
        <v>663</v>
      </c>
      <c r="G148" s="154"/>
      <c r="H148" s="154"/>
      <c r="I148" s="154"/>
      <c r="J148" s="154"/>
      <c r="K148" s="154"/>
      <c r="L148" s="154"/>
      <c r="M148" s="154"/>
      <c r="AG148" s="1"/>
    </row>
    <row r="149" spans="1:33" ht="20.100000000000001" customHeight="1" x14ac:dyDescent="0.2">
      <c r="D149" s="190" t="s">
        <v>668</v>
      </c>
      <c r="E149" t="s">
        <v>662</v>
      </c>
      <c r="F149" t="s">
        <v>663</v>
      </c>
      <c r="G149" s="154"/>
      <c r="H149" s="154"/>
      <c r="I149" s="154"/>
      <c r="J149" s="154"/>
      <c r="K149" s="154"/>
      <c r="L149" s="154"/>
      <c r="M149" s="154"/>
      <c r="AG149" s="1"/>
    </row>
    <row r="150" spans="1:33" ht="20.100000000000001" customHeight="1" x14ac:dyDescent="0.2">
      <c r="D150" s="190" t="s">
        <v>669</v>
      </c>
      <c r="E150" t="s">
        <v>662</v>
      </c>
      <c r="F150" t="s">
        <v>663</v>
      </c>
      <c r="G150" s="154"/>
      <c r="H150" s="154"/>
      <c r="I150" s="154"/>
      <c r="J150" s="154"/>
      <c r="K150" s="154"/>
      <c r="L150" s="154"/>
      <c r="M150" s="154"/>
      <c r="AG150" s="1"/>
    </row>
    <row r="151" spans="1:33" ht="20.100000000000001" customHeight="1" x14ac:dyDescent="0.2">
      <c r="D151" s="190" t="s">
        <v>670</v>
      </c>
      <c r="E151" t="s">
        <v>662</v>
      </c>
      <c r="F151" t="s">
        <v>663</v>
      </c>
      <c r="G151" s="154"/>
      <c r="H151" s="154"/>
      <c r="I151" s="154"/>
      <c r="J151" s="154"/>
      <c r="K151" s="154"/>
      <c r="L151" s="154"/>
      <c r="M151" s="154"/>
      <c r="AG151" s="1"/>
    </row>
    <row r="152" spans="1:33" ht="20.100000000000001" customHeight="1" x14ac:dyDescent="0.2">
      <c r="D152" s="192" t="s">
        <v>671</v>
      </c>
      <c r="E152" s="8" t="s">
        <v>662</v>
      </c>
      <c r="F152" t="s">
        <v>663</v>
      </c>
      <c r="G152" s="154"/>
      <c r="H152" s="154"/>
      <c r="I152" s="154"/>
      <c r="J152" s="154"/>
      <c r="K152" s="154"/>
      <c r="L152" s="154"/>
      <c r="M152" s="154"/>
      <c r="AG152" s="1"/>
    </row>
    <row r="153" spans="1:33" ht="20.100000000000001" customHeight="1" x14ac:dyDescent="0.2">
      <c r="D153" s="192" t="s">
        <v>672</v>
      </c>
      <c r="E153" s="8" t="s">
        <v>662</v>
      </c>
      <c r="F153" t="s">
        <v>663</v>
      </c>
      <c r="G153" s="154"/>
      <c r="H153" s="154"/>
      <c r="I153" s="154"/>
      <c r="J153" s="154"/>
      <c r="K153" s="154"/>
      <c r="L153" s="154"/>
      <c r="M153" s="154"/>
      <c r="AG153" s="1"/>
    </row>
    <row r="154" spans="1:33" ht="20.100000000000001" customHeight="1" x14ac:dyDescent="0.2">
      <c r="D154" s="192" t="s">
        <v>673</v>
      </c>
      <c r="E154" s="8" t="s">
        <v>662</v>
      </c>
      <c r="F154" t="s">
        <v>663</v>
      </c>
      <c r="G154" s="154"/>
      <c r="H154" s="154"/>
      <c r="I154" s="154"/>
      <c r="J154" s="154"/>
      <c r="K154" s="154"/>
      <c r="L154" s="154"/>
      <c r="M154" s="154"/>
      <c r="AG154" s="1"/>
    </row>
    <row r="155" spans="1:33" ht="20.100000000000001" customHeight="1" x14ac:dyDescent="0.2">
      <c r="D155" s="192" t="s">
        <v>674</v>
      </c>
      <c r="E155" s="8" t="s">
        <v>662</v>
      </c>
      <c r="F155" t="s">
        <v>663</v>
      </c>
      <c r="G155" s="154"/>
      <c r="H155" s="154"/>
      <c r="I155" s="154"/>
      <c r="J155" s="154"/>
      <c r="K155" s="154"/>
      <c r="L155" s="154"/>
      <c r="M155" s="154"/>
      <c r="AG155" s="1"/>
    </row>
    <row r="156" spans="1:33" ht="20.100000000000001" customHeight="1" x14ac:dyDescent="0.2">
      <c r="D156" s="192" t="s">
        <v>675</v>
      </c>
      <c r="E156" s="8" t="s">
        <v>662</v>
      </c>
      <c r="F156" t="s">
        <v>663</v>
      </c>
      <c r="G156" s="154"/>
      <c r="H156" s="154"/>
      <c r="I156" s="154"/>
      <c r="J156" s="154"/>
      <c r="K156" s="154"/>
      <c r="L156" s="154"/>
      <c r="M156" s="154"/>
      <c r="AG156" s="1"/>
    </row>
    <row r="157" spans="1:33" ht="20.100000000000001" customHeight="1" x14ac:dyDescent="0.2">
      <c r="D157" s="192" t="s">
        <v>676</v>
      </c>
      <c r="E157" s="8" t="s">
        <v>662</v>
      </c>
      <c r="F157" t="s">
        <v>663</v>
      </c>
      <c r="G157" s="154"/>
      <c r="H157" s="154"/>
      <c r="I157" s="154"/>
      <c r="J157" s="154"/>
      <c r="K157" s="154"/>
      <c r="L157" s="154"/>
      <c r="M157" s="154"/>
      <c r="AG157" s="1"/>
    </row>
    <row r="158" spans="1:33" ht="20.100000000000001" customHeight="1" x14ac:dyDescent="0.2">
      <c r="A158" s="79" t="str">
        <f>HYPERLINK("#A1", "▲ Back to top")</f>
        <v>▲ Back to top</v>
      </c>
      <c r="D158" s="192" t="s">
        <v>677</v>
      </c>
      <c r="E158" s="8" t="s">
        <v>662</v>
      </c>
      <c r="F158" t="s">
        <v>663</v>
      </c>
      <c r="G158" s="154"/>
      <c r="H158" s="154"/>
      <c r="I158" s="154"/>
      <c r="J158" s="154"/>
      <c r="K158" s="154"/>
      <c r="L158" s="154"/>
      <c r="M158" s="154"/>
      <c r="AG158" s="1"/>
    </row>
    <row r="159" spans="1:33" ht="20.100000000000001" customHeight="1" x14ac:dyDescent="0.2">
      <c r="D159" s="192" t="s">
        <v>678</v>
      </c>
      <c r="E159" s="8" t="s">
        <v>662</v>
      </c>
      <c r="F159" t="s">
        <v>663</v>
      </c>
      <c r="G159" s="154"/>
      <c r="H159" s="154"/>
      <c r="I159" s="154"/>
      <c r="J159" s="154"/>
      <c r="K159" s="154"/>
      <c r="L159" s="154"/>
      <c r="M159" s="154"/>
      <c r="AG159" s="1"/>
    </row>
    <row r="160" spans="1:33" ht="20.100000000000001" customHeight="1" x14ac:dyDescent="0.2">
      <c r="D160" s="192" t="s">
        <v>606</v>
      </c>
      <c r="E160" s="8" t="s">
        <v>662</v>
      </c>
      <c r="F160" t="s">
        <v>663</v>
      </c>
      <c r="G160" s="154"/>
      <c r="H160" s="154"/>
      <c r="I160" s="154"/>
      <c r="J160" s="154"/>
      <c r="K160" s="154"/>
      <c r="L160" s="154"/>
      <c r="M160" s="154"/>
      <c r="AG160" s="1"/>
    </row>
    <row r="161" spans="4:33" ht="20.100000000000001" customHeight="1" x14ac:dyDescent="0.2">
      <c r="D161" s="191" t="s">
        <v>679</v>
      </c>
      <c r="E161" s="154" t="s">
        <v>680</v>
      </c>
      <c r="F161" s="154" t="s">
        <v>680</v>
      </c>
      <c r="G161" s="154"/>
      <c r="H161" s="154"/>
      <c r="I161" s="154"/>
      <c r="J161" s="154"/>
      <c r="K161" s="154"/>
      <c r="L161" s="154"/>
      <c r="M161" s="154"/>
      <c r="AG161" s="1"/>
    </row>
    <row r="162" spans="4:33" ht="20.100000000000001" customHeight="1" x14ac:dyDescent="0.2">
      <c r="D162" s="154" t="s">
        <v>600</v>
      </c>
      <c r="E162" s="154" t="s">
        <v>680</v>
      </c>
      <c r="F162" s="154" t="s">
        <v>680</v>
      </c>
      <c r="G162" s="154"/>
      <c r="H162" s="154"/>
      <c r="I162" s="154"/>
      <c r="J162" s="154"/>
      <c r="K162" s="154"/>
      <c r="L162" s="154"/>
      <c r="M162" s="154"/>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9A57C-50B2-4EAF-8007-6A45418E9EEF}">
  <sheetPr>
    <tabColor theme="2" tint="-0.499984740745262"/>
  </sheetPr>
  <dimension ref="A1:R24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Poultry'!A1", "Poultry")</f>
        <v>Poultry</v>
      </c>
    </row>
    <row r="12" spans="1:17" ht="20.100000000000001" customHeight="1" x14ac:dyDescent="0.2">
      <c r="A12" s="5" t="str">
        <f>HYPERLINK("#'Input - Livestock sales'!A1", "Livestock sales")</f>
        <v>Livestock sales</v>
      </c>
    </row>
    <row r="13" spans="1:17" ht="20.100000000000001" customHeight="1" x14ac:dyDescent="0.2">
      <c r="A13" s="5" t="str">
        <f>HYPERLINK("#'Input - Poultry purchases'!A1", "Poultry purchases")</f>
        <v>Poultry purchases</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Livestock farm Inputs'!A1", "Livestock farm Inputs")</f>
        <v>Livestock farm Inputs</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Manure sent off-site'!A1", "Manure sent off-site")</f>
        <v>Manure sent off-site</v>
      </c>
    </row>
    <row r="21" spans="1:12" ht="20.100000000000001" customHeight="1" x14ac:dyDescent="0.2">
      <c r="A21" s="5" t="str">
        <f>HYPERLINK("#'Input - Data quality'!A1", "Data quality")</f>
        <v>Data quality</v>
      </c>
    </row>
    <row r="22" spans="1:12" ht="20.100000000000001" customHeight="1" x14ac:dyDescent="0.2">
      <c r="A22" s="5" t="str">
        <f>HYPERLINK("#'Input - Fert Prod System'!A1", "Fert Prod System")</f>
        <v>Fert Prod System</v>
      </c>
    </row>
    <row r="23" spans="1:12" ht="20.100000000000001" customHeight="1" x14ac:dyDescent="0.2">
      <c r="A23" s="5" t="str">
        <f>HYPERLINK("#'Input - Fertiliser'!A1", "Fertiliser")</f>
        <v>Fertiliser</v>
      </c>
    </row>
    <row r="26" spans="1:12" ht="20.100000000000001" customHeight="1" x14ac:dyDescent="0.2">
      <c r="A26" s="6" t="s">
        <v>2</v>
      </c>
    </row>
    <row r="27" spans="1:12" ht="20.100000000000001" customHeight="1" x14ac:dyDescent="0.2">
      <c r="A27" s="5" t="str">
        <f>HYPERLINK("#'4.6.1.1-2 Methane'!A1", "4.6.1.1-2 Manure Methane")</f>
        <v>4.6.1.1-2 Manure Methane</v>
      </c>
    </row>
    <row r="28" spans="1:12" ht="20.100000000000001" customHeight="1" x14ac:dyDescent="0.2">
      <c r="A28" s="5" t="str">
        <f>HYPERLINK("#'4.6.1.3-4 Direct N20'!A1", "4.6.1.3-4 Manure Direct N2O")</f>
        <v>4.6.1.3-4 Manure Direct N2O</v>
      </c>
    </row>
    <row r="29" spans="1:12" ht="20.100000000000001" customHeight="1" x14ac:dyDescent="0.2">
      <c r="A29" s="5" t="str">
        <f>HYPERLINK("#'4.6.1.5-6 Atmos Dep'!A1", "4.6.1.5-6 Manure Atmos Dep")</f>
        <v>4.6.1.5-6 Manure Atmos Dep</v>
      </c>
    </row>
    <row r="30" spans="1:12" ht="20.100000000000001" customHeight="1" x14ac:dyDescent="0.2">
      <c r="A30" s="5" t="str">
        <f>HYPERLINK("#'4.6.1.7-8 Leaching and runoff'!A1", "4.6.1.7-8 Manure Leaching and runoff")</f>
        <v>4.6.1.7-8 Manure Leaching and runoff</v>
      </c>
    </row>
    <row r="31" spans="1:12" ht="20.100000000000001" customHeight="1" x14ac:dyDescent="0.2">
      <c r="A31" s="5" t="str">
        <f>HYPERLINK("#'4.6.1.9 Manure applied to soils'!A1", "4.6.1.9 Manure applied to soils")</f>
        <v>4.6.1.9 Manure applied to soils</v>
      </c>
    </row>
    <row r="32" spans="1:12" ht="20.100000000000001" customHeight="1" x14ac:dyDescent="0.2">
      <c r="A32" s="5" t="str">
        <f>HYPERLINK("#'4.6.1.10-11 Soil direct N2O'!A1", "4.6.1.10-11 Soil direct N2O")</f>
        <v>4.6.1.10-11 Soil direct N2O</v>
      </c>
      <c r="D32" s="2" t="s">
        <v>1160</v>
      </c>
      <c r="L32" s="1" t="s">
        <v>1161</v>
      </c>
    </row>
    <row r="33" spans="1:13" ht="20.100000000000001" customHeight="1" x14ac:dyDescent="0.2">
      <c r="A33" s="5" t="str">
        <f>HYPERLINK("#'4.6.1.12-13 Soil atmos dep'!A1", "4.6.1.12-13 Soil atmos dep")</f>
        <v>4.6.1.12-13 Soil atmos dep</v>
      </c>
      <c r="D33" s="19" t="s">
        <v>1162</v>
      </c>
      <c r="E33" s="19" t="s">
        <v>132</v>
      </c>
      <c r="F33" s="19" t="s">
        <v>1163</v>
      </c>
      <c r="G33" s="19" t="s">
        <v>1164</v>
      </c>
      <c r="H33" s="19" t="s">
        <v>1165</v>
      </c>
      <c r="I33" s="19" t="s">
        <v>1166</v>
      </c>
      <c r="J33" s="19" t="s">
        <v>570</v>
      </c>
      <c r="L33" s="19" t="s">
        <v>1167</v>
      </c>
      <c r="M33" s="19" t="s">
        <v>1168</v>
      </c>
    </row>
    <row r="34" spans="1:13" ht="20.100000000000001" customHeight="1" x14ac:dyDescent="0.2">
      <c r="A34" s="5" t="str">
        <f>HYPERLINK("#'4.6.1.14-15 Soil leach runoff'!A1", "4.6.1.14-15 Soil leach runoff")</f>
        <v>4.6.1.14-15 Soil leach runoff</v>
      </c>
      <c r="D34" s="19" t="str" cm="1">
        <f t="array" ref="D34">Common_InputFunctions.Utility_DisplayArrayInTable(Scope3_SourceData.Scope3_Livestock_Data(), Table_SourceData_Scope3_Animals[[#Headers],[Category]], 0, 2)</f>
        <v>Beef cattle</v>
      </c>
      <c r="E34" s="19" t="str" cm="1">
        <f t="array" ref="E34">Common_InputFunctions.Utility_DisplayArrayInTable(Scope3_SourceData.Scope3_Livestock_Data(), Table_SourceData_Scope3_Animals[[#Headers],[Category]], 0, 2)</f>
        <v>Cattle, for manufacturing beef</v>
      </c>
      <c r="F34" s="19" t="str" cm="1">
        <f t="array" ref="F34">Common_InputFunctions.Utility_DisplayArrayInTable(Scope3_SourceData.Scope3_Livestock_Data(), Table_SourceData_Scope3_Animals[[#Headers],[Category]], 0, 2)</f>
        <v>Australia</v>
      </c>
      <c r="G34" s="19" t="str" cm="1">
        <f t="array" ref="G34">Common_InputFunctions.Utility_DisplayArrayInTable(Scope3_SourceData.Scope3_Livestock_Data(), Table_SourceData_Scope3_Animals[[#Headers],[Category]], 0, 2)</f>
        <v>kg liveweight</v>
      </c>
      <c r="H34" s="19" cm="1">
        <f t="array" ref="H34">Common_InputFunctions.Utility_DisplayArrayInTable(Scope3_SourceData.Scope3_Livestock_Data(), Table_SourceData_Scope3_Animals[[#Headers],[Category]], 0, 2)</f>
        <v>11</v>
      </c>
      <c r="I34" s="19" t="str" cm="1">
        <f t="array" ref="I34">Common_InputFunctions.Utility_DisplayArrayInTable(Scope3_SourceData.Scope3_Livestock_Data(), Table_SourceData_Scope3_Animals[[#Headers],[Category]], 0, 2)</f>
        <v>at market</v>
      </c>
      <c r="J34" s="19" t="s">
        <v>1169</v>
      </c>
      <c r="L34" s="19" t="s">
        <v>523</v>
      </c>
      <c r="M34" s="19" t="s">
        <v>522</v>
      </c>
    </row>
    <row r="35" spans="1:13" ht="20.100000000000001" customHeight="1" x14ac:dyDescent="0.2">
      <c r="A35" s="5" t="str">
        <f>HYPERLINK("#'8.1.1.1-2 Transport fuel'!A1", "8.1.1.1-2 Transport fuel")</f>
        <v>8.1.1.1-2 Transport fuel</v>
      </c>
      <c r="D35" s="19" t="str" cm="1">
        <f t="array" ref="D35">Common_InputFunctions.Utility_DisplayArrayInTable(Scope3_SourceData.Scope3_Livestock_Data(), Table_SourceData_Scope3_Animals[[#Headers],[Category]], 0, 2)</f>
        <v>Beef cattle</v>
      </c>
      <c r="E35" s="19" t="str" cm="1">
        <f t="array" ref="E35">Common_InputFunctions.Utility_DisplayArrayInTable(Scope3_SourceData.Scope3_Livestock_Data(), Table_SourceData_Scope3_Animals[[#Headers],[Category]], 0, 2)</f>
        <v>Cattle, for manufacturing beef</v>
      </c>
      <c r="F35" s="19" t="str" cm="1">
        <f t="array" ref="F35">Common_InputFunctions.Utility_DisplayArrayInTable(Scope3_SourceData.Scope3_Livestock_Data(), Table_SourceData_Scope3_Animals[[#Headers],[Category]], 0, 2)</f>
        <v>NSW</v>
      </c>
      <c r="G35" s="19" t="str" cm="1">
        <f t="array" ref="G35">Common_InputFunctions.Utility_DisplayArrayInTable(Scope3_SourceData.Scope3_Livestock_Data(), Table_SourceData_Scope3_Animals[[#Headers],[Category]], 0, 2)</f>
        <v>kg liveweight</v>
      </c>
      <c r="H35" s="19" cm="1">
        <f t="array" ref="H35">Common_InputFunctions.Utility_DisplayArrayInTable(Scope3_SourceData.Scope3_Livestock_Data(), Table_SourceData_Scope3_Animals[[#Headers],[Category]], 0, 2)</f>
        <v>8.2100000000000009</v>
      </c>
      <c r="I35" s="19" t="str" cm="1">
        <f t="array" ref="I35">Common_InputFunctions.Utility_DisplayArrayInTable(Scope3_SourceData.Scope3_Livestock_Data(), Table_SourceData_Scope3_Animals[[#Headers],[Category]], 0, 2)</f>
        <v>at market</v>
      </c>
      <c r="J35" s="19" t="s">
        <v>1169</v>
      </c>
      <c r="L35" s="19" t="s">
        <v>522</v>
      </c>
      <c r="M35" s="19" t="s">
        <v>522</v>
      </c>
    </row>
    <row r="36" spans="1:13" ht="20.100000000000001" customHeight="1" x14ac:dyDescent="0.2">
      <c r="A36" s="5" t="str">
        <f>HYPERLINK("#'8.2.1.1-2 Stationary fuel'!A1", "8.2.1.1-2 Stationary fuel")</f>
        <v>8.2.1.1-2 Stationary fuel</v>
      </c>
      <c r="D36" s="19" t="str" cm="1">
        <f t="array" ref="D36">Common_InputFunctions.Utility_DisplayArrayInTable(Scope3_SourceData.Scope3_Livestock_Data(), Table_SourceData_Scope3_Animals[[#Headers],[Category]], 0, 2)</f>
        <v>Beef cattle</v>
      </c>
      <c r="E36" s="19" t="str" cm="1">
        <f t="array" ref="E36">Common_InputFunctions.Utility_DisplayArrayInTable(Scope3_SourceData.Scope3_Livestock_Data(), Table_SourceData_Scope3_Animals[[#Headers],[Category]], 0, 2)</f>
        <v>Cattle, for manufacturing beef</v>
      </c>
      <c r="F36" s="19" t="str" cm="1">
        <f t="array" ref="F36">Common_InputFunctions.Utility_DisplayArrayInTable(Scope3_SourceData.Scope3_Livestock_Data(), Table_SourceData_Scope3_Animals[[#Headers],[Category]], 0, 2)</f>
        <v>NT</v>
      </c>
      <c r="G36" s="19" t="str" cm="1">
        <f t="array" ref="G36">Common_InputFunctions.Utility_DisplayArrayInTable(Scope3_SourceData.Scope3_Livestock_Data(), Table_SourceData_Scope3_Animals[[#Headers],[Category]], 0, 2)</f>
        <v>kg liveweight</v>
      </c>
      <c r="H36" s="19" cm="1">
        <f t="array" ref="H36">Common_InputFunctions.Utility_DisplayArrayInTable(Scope3_SourceData.Scope3_Livestock_Data(), Table_SourceData_Scope3_Animals[[#Headers],[Category]], 0, 2)</f>
        <v>12.2</v>
      </c>
      <c r="I36" s="19" t="str" cm="1">
        <f t="array" ref="I36">Common_InputFunctions.Utility_DisplayArrayInTable(Scope3_SourceData.Scope3_Livestock_Data(), Table_SourceData_Scope3_Animals[[#Headers],[Category]], 0, 2)</f>
        <v>at market</v>
      </c>
      <c r="J36" s="19" t="s">
        <v>1169</v>
      </c>
      <c r="L36" s="19" t="s">
        <v>527</v>
      </c>
      <c r="M36" s="19" t="s">
        <v>527</v>
      </c>
    </row>
    <row r="37" spans="1:13" ht="20.100000000000001" customHeight="1" x14ac:dyDescent="0.2">
      <c r="A37" s="5" t="str">
        <f>HYPERLINK("#'10.1.1-2 Solid waste treatment'!A1", "10.1.1.1-2 Solid waste")</f>
        <v>10.1.1.1-2 Solid waste</v>
      </c>
      <c r="D37" s="19" t="str" cm="1">
        <f t="array" ref="D37">Common_InputFunctions.Utility_DisplayArrayInTable(Scope3_SourceData.Scope3_Livestock_Data(), Table_SourceData_Scope3_Animals[[#Headers],[Category]], 0, 2)</f>
        <v>Beef cattle</v>
      </c>
      <c r="E37" s="19" t="str" cm="1">
        <f t="array" ref="E37">Common_InputFunctions.Utility_DisplayArrayInTable(Scope3_SourceData.Scope3_Livestock_Data(), Table_SourceData_Scope3_Animals[[#Headers],[Category]], 0, 2)</f>
        <v>Cattle, for manufacturing beef</v>
      </c>
      <c r="F37" s="19" t="str" cm="1">
        <f t="array" ref="F37">Common_InputFunctions.Utility_DisplayArrayInTable(Scope3_SourceData.Scope3_Livestock_Data(), Table_SourceData_Scope3_Animals[[#Headers],[Category]], 0, 2)</f>
        <v>QLD</v>
      </c>
      <c r="G37" s="19" t="str" cm="1">
        <f t="array" ref="G37">Common_InputFunctions.Utility_DisplayArrayInTable(Scope3_SourceData.Scope3_Livestock_Data(), Table_SourceData_Scope3_Animals[[#Headers],[Category]], 0, 2)</f>
        <v>kg liveweight</v>
      </c>
      <c r="H37" s="19" cm="1">
        <f t="array" ref="H37">Common_InputFunctions.Utility_DisplayArrayInTable(Scope3_SourceData.Scope3_Livestock_Data(), Table_SourceData_Scope3_Animals[[#Headers],[Category]], 0, 2)</f>
        <v>10.9</v>
      </c>
      <c r="I37" s="19" t="str" cm="1">
        <f t="array" ref="I37">Common_InputFunctions.Utility_DisplayArrayInTable(Scope3_SourceData.Scope3_Livestock_Data(), Table_SourceData_Scope3_Animals[[#Headers],[Category]], 0, 2)</f>
        <v>at market</v>
      </c>
      <c r="J37" s="19" t="s">
        <v>1169</v>
      </c>
      <c r="L37" s="19" t="s">
        <v>529</v>
      </c>
      <c r="M37" s="19" t="s">
        <v>529</v>
      </c>
    </row>
    <row r="38" spans="1:13" ht="20.100000000000001" customHeight="1" x14ac:dyDescent="0.2">
      <c r="A38" s="5" t="str">
        <f>HYPERLINK("#'14.1.1-2 Purchased electricity'!A1", "14.1.1-2 Purchased electricity")</f>
        <v>14.1.1-2 Purchased electricity</v>
      </c>
      <c r="D38" s="19" t="str" cm="1">
        <f t="array" ref="D38">Common_InputFunctions.Utility_DisplayArrayInTable(Scope3_SourceData.Scope3_Livestock_Data(), Table_SourceData_Scope3_Animals[[#Headers],[Category]], 0, 2)</f>
        <v>Beef cattle</v>
      </c>
      <c r="E38" s="19" t="str" cm="1">
        <f t="array" ref="E38">Common_InputFunctions.Utility_DisplayArrayInTable(Scope3_SourceData.Scope3_Livestock_Data(), Table_SourceData_Scope3_Animals[[#Headers],[Category]], 0, 2)</f>
        <v>Cattle, for manufacturing beef</v>
      </c>
      <c r="F38" s="19" t="str" cm="1">
        <f t="array" ref="F38">Common_InputFunctions.Utility_DisplayArrayInTable(Scope3_SourceData.Scope3_Livestock_Data(), Table_SourceData_Scope3_Animals[[#Headers],[Category]], 0, 2)</f>
        <v>SA</v>
      </c>
      <c r="G38" s="19" t="str" cm="1">
        <f t="array" ref="G38">Common_InputFunctions.Utility_DisplayArrayInTable(Scope3_SourceData.Scope3_Livestock_Data(), Table_SourceData_Scope3_Animals[[#Headers],[Category]], 0, 2)</f>
        <v>kg liveweight</v>
      </c>
      <c r="H38" s="19" cm="1">
        <f t="array" ref="H38">Common_InputFunctions.Utility_DisplayArrayInTable(Scope3_SourceData.Scope3_Livestock_Data(), Table_SourceData_Scope3_Animals[[#Headers],[Category]], 0, 2)</f>
        <v>7.63</v>
      </c>
      <c r="I38" s="19" t="str" cm="1">
        <f t="array" ref="I38">Common_InputFunctions.Utility_DisplayArrayInTable(Scope3_SourceData.Scope3_Livestock_Data(), Table_SourceData_Scope3_Animals[[#Headers],[Category]], 0, 2)</f>
        <v>at market</v>
      </c>
      <c r="J38" s="19" t="s">
        <v>1169</v>
      </c>
      <c r="L38" s="19" t="s">
        <v>526</v>
      </c>
      <c r="M38" s="19" t="s">
        <v>526</v>
      </c>
    </row>
    <row r="39" spans="1:13" ht="20.100000000000001" customHeight="1" x14ac:dyDescent="0.2">
      <c r="A39" s="5" t="str">
        <f>HYPERLINK("#'15 Scope 3'!A1", "15 Scope 3")</f>
        <v>15 Scope 3</v>
      </c>
      <c r="D39" s="19" t="str" cm="1">
        <f t="array" ref="D39">Common_InputFunctions.Utility_DisplayArrayInTable(Scope3_SourceData.Scope3_Livestock_Data(), Table_SourceData_Scope3_Animals[[#Headers],[Category]], 0, 2)</f>
        <v>Beef cattle</v>
      </c>
      <c r="E39" s="19" t="str" cm="1">
        <f t="array" ref="E39">Common_InputFunctions.Utility_DisplayArrayInTable(Scope3_SourceData.Scope3_Livestock_Data(), Table_SourceData_Scope3_Animals[[#Headers],[Category]], 0, 2)</f>
        <v>Cattle, for manufacturing beef</v>
      </c>
      <c r="F39" s="19" t="str" cm="1">
        <f t="array" ref="F39">Common_InputFunctions.Utility_DisplayArrayInTable(Scope3_SourceData.Scope3_Livestock_Data(), Table_SourceData_Scope3_Animals[[#Headers],[Category]], 0, 2)</f>
        <v>TAS</v>
      </c>
      <c r="G39" s="19" t="str" cm="1">
        <f t="array" ref="G39">Common_InputFunctions.Utility_DisplayArrayInTable(Scope3_SourceData.Scope3_Livestock_Data(), Table_SourceData_Scope3_Animals[[#Headers],[Category]], 0, 2)</f>
        <v>kg liveweight</v>
      </c>
      <c r="H39" s="19" cm="1">
        <f t="array" ref="H39">Common_InputFunctions.Utility_DisplayArrayInTable(Scope3_SourceData.Scope3_Livestock_Data(), Table_SourceData_Scope3_Animals[[#Headers],[Category]], 0, 2)</f>
        <v>8.75</v>
      </c>
      <c r="I39" s="19" t="str" cm="1">
        <f t="array" ref="I39">Common_InputFunctions.Utility_DisplayArrayInTable(Scope3_SourceData.Scope3_Livestock_Data(), Table_SourceData_Scope3_Animals[[#Headers],[Category]], 0, 2)</f>
        <v>at market</v>
      </c>
      <c r="J39" s="19" t="s">
        <v>1169</v>
      </c>
      <c r="L39" s="19" t="s">
        <v>1170</v>
      </c>
      <c r="M39" s="19" t="s">
        <v>528</v>
      </c>
    </row>
    <row r="40" spans="1:13" ht="20.100000000000001" customHeight="1" x14ac:dyDescent="0.2">
      <c r="A40" s="5" t="str">
        <f>HYPERLINK("#'Calcs - Manure sent off-site'!A1", "Calcs - Manure sent off-site")</f>
        <v>Calcs - Manure sent off-site</v>
      </c>
      <c r="D40" s="19" t="str" cm="1">
        <f t="array" ref="D40">Common_InputFunctions.Utility_DisplayArrayInTable(Scope3_SourceData.Scope3_Livestock_Data(), Table_SourceData_Scope3_Animals[[#Headers],[Category]], 0, 2)</f>
        <v>Beef cattle</v>
      </c>
      <c r="E40" s="19" t="str" cm="1">
        <f t="array" ref="E40">Common_InputFunctions.Utility_DisplayArrayInTable(Scope3_SourceData.Scope3_Livestock_Data(), Table_SourceData_Scope3_Animals[[#Headers],[Category]], 0, 2)</f>
        <v>Cattle, for manufacturing beef</v>
      </c>
      <c r="F40" s="19" t="str" cm="1">
        <f t="array" ref="F40">Common_InputFunctions.Utility_DisplayArrayInTable(Scope3_SourceData.Scope3_Livestock_Data(), Table_SourceData_Scope3_Animals[[#Headers],[Category]], 0, 2)</f>
        <v>VIC</v>
      </c>
      <c r="G40" s="19" t="str" cm="1">
        <f t="array" ref="G40">Common_InputFunctions.Utility_DisplayArrayInTable(Scope3_SourceData.Scope3_Livestock_Data(), Table_SourceData_Scope3_Animals[[#Headers],[Category]], 0, 2)</f>
        <v>kg liveweight</v>
      </c>
      <c r="H40" s="19" cm="1">
        <f t="array" ref="H40">Common_InputFunctions.Utility_DisplayArrayInTable(Scope3_SourceData.Scope3_Livestock_Data(), Table_SourceData_Scope3_Animals[[#Headers],[Category]], 0, 2)</f>
        <v>8.17</v>
      </c>
      <c r="I40" s="19" t="str" cm="1">
        <f t="array" ref="I40">Common_InputFunctions.Utility_DisplayArrayInTable(Scope3_SourceData.Scope3_Livestock_Data(), Table_SourceData_Scope3_Animals[[#Headers],[Category]], 0, 2)</f>
        <v>at market</v>
      </c>
      <c r="J40" s="19" t="s">
        <v>1169</v>
      </c>
      <c r="L40" s="19" t="s">
        <v>1171</v>
      </c>
      <c r="M40" s="19" t="s">
        <v>528</v>
      </c>
    </row>
    <row r="41" spans="1:13" ht="20.100000000000001" customHeight="1" x14ac:dyDescent="0.2">
      <c r="A41" s="5" t="str">
        <f>HYPERLINK("#'5.1.1.1-2 Inorganic fert N2O'!A1", "5.1.1.1-2 Inorganic fert N2O")</f>
        <v>5.1.1.1-2 Inorganic fert N2O</v>
      </c>
      <c r="D41" s="19" t="str" cm="1">
        <f t="array" ref="D41">Common_InputFunctions.Utility_DisplayArrayInTable(Scope3_SourceData.Scope3_Livestock_Data(), Table_SourceData_Scope3_Animals[[#Headers],[Category]], 0, 2)</f>
        <v>Beef cattle</v>
      </c>
      <c r="E41" s="19" t="str" cm="1">
        <f t="array" ref="E41">Common_InputFunctions.Utility_DisplayArrayInTable(Scope3_SourceData.Scope3_Livestock_Data(), Table_SourceData_Scope3_Animals[[#Headers],[Category]], 0, 2)</f>
        <v>Cattle, for manufacturing beef</v>
      </c>
      <c r="F41" s="19" t="str" cm="1">
        <f t="array" ref="F41">Common_InputFunctions.Utility_DisplayArrayInTable(Scope3_SourceData.Scope3_Livestock_Data(), Table_SourceData_Scope3_Animals[[#Headers],[Category]], 0, 2)</f>
        <v>WA</v>
      </c>
      <c r="G41" s="19" t="str" cm="1">
        <f t="array" ref="G41">Common_InputFunctions.Utility_DisplayArrayInTable(Scope3_SourceData.Scope3_Livestock_Data(), Table_SourceData_Scope3_Animals[[#Headers],[Category]], 0, 2)</f>
        <v>kg liveweight</v>
      </c>
      <c r="H41" s="19" cm="1">
        <f t="array" ref="H41">Common_InputFunctions.Utility_DisplayArrayInTable(Scope3_SourceData.Scope3_Livestock_Data(), Table_SourceData_Scope3_Animals[[#Headers],[Category]], 0, 2)</f>
        <v>13.1</v>
      </c>
      <c r="I41" s="19" t="str" cm="1">
        <f t="array" ref="I41">Common_InputFunctions.Utility_DisplayArrayInTable(Scope3_SourceData.Scope3_Livestock_Data(), Table_SourceData_Scope3_Animals[[#Headers],[Category]], 0, 2)</f>
        <v>at market</v>
      </c>
      <c r="J41" s="19" t="s">
        <v>1169</v>
      </c>
      <c r="L41" s="19" t="s">
        <v>1172</v>
      </c>
      <c r="M41" s="19" t="s">
        <v>528</v>
      </c>
    </row>
    <row r="42" spans="1:13" ht="20.100000000000001" customHeight="1" x14ac:dyDescent="0.2">
      <c r="A42" s="5" t="str">
        <f>HYPERLINK("#'5.1.1.3-4 Inorganic fert CO2'!A1", "5.1.1.3-4 Inorganic fert CO2")</f>
        <v>5.1.1.3-4 Inorganic fert CO2</v>
      </c>
      <c r="D42" s="19" t="str" cm="1">
        <f t="array" ref="D42">Common_InputFunctions.Utility_DisplayArrayInTable(Scope3_SourceData.Scope3_Livestock_Data(), Table_SourceData_Scope3_Animals[[#Headers],[Category]], 0, 2)</f>
        <v>Beef cattle</v>
      </c>
      <c r="E42" s="19" t="str" cm="1">
        <f t="array" ref="E42">Common_InputFunctions.Utility_DisplayArrayInTable(Scope3_SourceData.Scope3_Livestock_Data(), Table_SourceData_Scope3_Animals[[#Headers],[Category]], 0, 2)</f>
        <v>Cattle, for prime beef</v>
      </c>
      <c r="F42" s="19" t="str" cm="1">
        <f t="array" ref="F42">Common_InputFunctions.Utility_DisplayArrayInTable(Scope3_SourceData.Scope3_Livestock_Data(), Table_SourceData_Scope3_Animals[[#Headers],[Category]], 0, 2)</f>
        <v>Australia</v>
      </c>
      <c r="G42" s="19" t="str" cm="1">
        <f t="array" ref="G42">Common_InputFunctions.Utility_DisplayArrayInTable(Scope3_SourceData.Scope3_Livestock_Data(), Table_SourceData_Scope3_Animals[[#Headers],[Category]], 0, 2)</f>
        <v>kg liveweight</v>
      </c>
      <c r="H42" s="19" cm="1">
        <f t="array" ref="H42">Common_InputFunctions.Utility_DisplayArrayInTable(Scope3_SourceData.Scope3_Livestock_Data(), Table_SourceData_Scope3_Animals[[#Headers],[Category]], 0, 2)</f>
        <v>14.5</v>
      </c>
      <c r="I42" s="19" t="str" cm="1">
        <f t="array" ref="I42">Common_InputFunctions.Utility_DisplayArrayInTable(Scope3_SourceData.Scope3_Livestock_Data(), Table_SourceData_Scope3_Animals[[#Headers],[Category]], 0, 2)</f>
        <v>at market</v>
      </c>
      <c r="J42" s="19" t="s">
        <v>1169</v>
      </c>
      <c r="L42" s="19" t="s">
        <v>1173</v>
      </c>
      <c r="M42" s="19" t="s">
        <v>525</v>
      </c>
    </row>
    <row r="43" spans="1:13" ht="20.100000000000001" customHeight="1" x14ac:dyDescent="0.2">
      <c r="A43" s="5" t="str">
        <f>HYPERLINK("#'5.2.1.1-2 Organic Fert N2O'!A1", "5.2.1.1-2 Organic Fert N2O")</f>
        <v>5.2.1.1-2 Organic Fert N2O</v>
      </c>
      <c r="D43" s="19" t="str" cm="1">
        <f t="array" ref="D43">Common_InputFunctions.Utility_DisplayArrayInTable(Scope3_SourceData.Scope3_Livestock_Data(), Table_SourceData_Scope3_Animals[[#Headers],[Category]], 0, 2)</f>
        <v>Beef cattle</v>
      </c>
      <c r="E43" s="19" t="str" cm="1">
        <f t="array" ref="E43">Common_InputFunctions.Utility_DisplayArrayInTable(Scope3_SourceData.Scope3_Livestock_Data(), Table_SourceData_Scope3_Animals[[#Headers],[Category]], 0, 2)</f>
        <v>Cattle, for prime beef</v>
      </c>
      <c r="F43" s="19" t="str" cm="1">
        <f t="array" ref="F43">Common_InputFunctions.Utility_DisplayArrayInTable(Scope3_SourceData.Scope3_Livestock_Data(), Table_SourceData_Scope3_Animals[[#Headers],[Category]], 0, 2)</f>
        <v>NSW</v>
      </c>
      <c r="G43" s="19" t="str" cm="1">
        <f t="array" ref="G43">Common_InputFunctions.Utility_DisplayArrayInTable(Scope3_SourceData.Scope3_Livestock_Data(), Table_SourceData_Scope3_Animals[[#Headers],[Category]], 0, 2)</f>
        <v>kg liveweight</v>
      </c>
      <c r="H43" s="19" cm="1">
        <f t="array" ref="H43">Common_InputFunctions.Utility_DisplayArrayInTable(Scope3_SourceData.Scope3_Livestock_Data(), Table_SourceData_Scope3_Animals[[#Headers],[Category]], 0, 2)</f>
        <v>11.3</v>
      </c>
      <c r="I43" s="19" t="str" cm="1">
        <f t="array" ref="I43">Common_InputFunctions.Utility_DisplayArrayInTable(Scope3_SourceData.Scope3_Livestock_Data(), Table_SourceData_Scope3_Animals[[#Headers],[Category]], 0, 2)</f>
        <v>at market</v>
      </c>
      <c r="J43" s="19" t="s">
        <v>1169</v>
      </c>
      <c r="L43" s="19" t="s">
        <v>1174</v>
      </c>
      <c r="M43" s="19" t="s">
        <v>525</v>
      </c>
    </row>
    <row r="44" spans="1:13" ht="20.100000000000001" customHeight="1" x14ac:dyDescent="0.2">
      <c r="A44" s="5" t="str">
        <f>HYPERLINK("#'5.3.1.1-2 Lime CO2'!A1", "5.3.1.1-2 Lime CO2")</f>
        <v>5.3.1.1-2 Lime CO2</v>
      </c>
      <c r="D44" s="19" t="str" cm="1">
        <f t="array" ref="D44">Common_InputFunctions.Utility_DisplayArrayInTable(Scope3_SourceData.Scope3_Livestock_Data(), Table_SourceData_Scope3_Animals[[#Headers],[Category]], 0, 2)</f>
        <v>Beef cattle</v>
      </c>
      <c r="E44" s="19" t="str" cm="1">
        <f t="array" ref="E44">Common_InputFunctions.Utility_DisplayArrayInTable(Scope3_SourceData.Scope3_Livestock_Data(), Table_SourceData_Scope3_Animals[[#Headers],[Category]], 0, 2)</f>
        <v>Cattle, for prime beef</v>
      </c>
      <c r="F44" s="19" t="str" cm="1">
        <f t="array" ref="F44">Common_InputFunctions.Utility_DisplayArrayInTable(Scope3_SourceData.Scope3_Livestock_Data(), Table_SourceData_Scope3_Animals[[#Headers],[Category]], 0, 2)</f>
        <v>NT</v>
      </c>
      <c r="G44" s="19" t="str" cm="1">
        <f t="array" ref="G44">Common_InputFunctions.Utility_DisplayArrayInTable(Scope3_SourceData.Scope3_Livestock_Data(), Table_SourceData_Scope3_Animals[[#Headers],[Category]], 0, 2)</f>
        <v>kg liveweight</v>
      </c>
      <c r="H44" s="19" cm="1">
        <f t="array" ref="H44">Common_InputFunctions.Utility_DisplayArrayInTable(Scope3_SourceData.Scope3_Livestock_Data(), Table_SourceData_Scope3_Animals[[#Headers],[Category]], 0, 2)</f>
        <v>18.899999999999999</v>
      </c>
      <c r="I44" s="19" t="str" cm="1">
        <f t="array" ref="I44">Common_InputFunctions.Utility_DisplayArrayInTable(Scope3_SourceData.Scope3_Livestock_Data(), Table_SourceData_Scope3_Animals[[#Headers],[Category]], 0, 2)</f>
        <v>at market</v>
      </c>
      <c r="J44" s="19" t="s">
        <v>1169</v>
      </c>
      <c r="L44" s="19" t="s">
        <v>1175</v>
      </c>
      <c r="M44" s="19" t="s">
        <v>525</v>
      </c>
    </row>
    <row r="45" spans="1:13" ht="20.100000000000001" customHeight="1" x14ac:dyDescent="0.2">
      <c r="A45" s="5" t="str">
        <f>HYPERLINK("#'5.4.1.1-4 Atmos deposition'!A1", "5.4.1.1-4 Atmos deposition")</f>
        <v>5.4.1.1-4 Atmos deposition</v>
      </c>
      <c r="D45" s="19" t="str" cm="1">
        <f t="array" ref="D45">Common_InputFunctions.Utility_DisplayArrayInTable(Scope3_SourceData.Scope3_Livestock_Data(), Table_SourceData_Scope3_Animals[[#Headers],[Category]], 0, 2)</f>
        <v>Beef cattle</v>
      </c>
      <c r="E45" s="19" t="str" cm="1">
        <f t="array" ref="E45">Common_InputFunctions.Utility_DisplayArrayInTable(Scope3_SourceData.Scope3_Livestock_Data(), Table_SourceData_Scope3_Animals[[#Headers],[Category]], 0, 2)</f>
        <v>Cattle, for prime beef</v>
      </c>
      <c r="F45" s="19" t="str" cm="1">
        <f t="array" ref="F45">Common_InputFunctions.Utility_DisplayArrayInTable(Scope3_SourceData.Scope3_Livestock_Data(), Table_SourceData_Scope3_Animals[[#Headers],[Category]], 0, 2)</f>
        <v>QLD</v>
      </c>
      <c r="G45" s="19" t="str" cm="1">
        <f t="array" ref="G45">Common_InputFunctions.Utility_DisplayArrayInTable(Scope3_SourceData.Scope3_Livestock_Data(), Table_SourceData_Scope3_Animals[[#Headers],[Category]], 0, 2)</f>
        <v>kg liveweight</v>
      </c>
      <c r="H45" s="19" cm="1">
        <f t="array" ref="H45">Common_InputFunctions.Utility_DisplayArrayInTable(Scope3_SourceData.Scope3_Livestock_Data(), Table_SourceData_Scope3_Animals[[#Headers],[Category]], 0, 2)</f>
        <v>13.9</v>
      </c>
      <c r="I45" s="19" t="str" cm="1">
        <f t="array" ref="I45">Common_InputFunctions.Utility_DisplayArrayInTable(Scope3_SourceData.Scope3_Livestock_Data(), Table_SourceData_Scope3_Animals[[#Headers],[Category]], 0, 2)</f>
        <v>at market</v>
      </c>
      <c r="J45" s="19" t="s">
        <v>1169</v>
      </c>
      <c r="L45" s="19" t="s">
        <v>1176</v>
      </c>
      <c r="M45" s="19" t="s">
        <v>524</v>
      </c>
    </row>
    <row r="46" spans="1:13" ht="20.100000000000001" customHeight="1" x14ac:dyDescent="0.2">
      <c r="A46" s="5" t="str">
        <f>HYPERLINK("#'5.5.1.1-2 Leaching and runoff'!A1", "5.5.1.1-2 Leaching and runoff")</f>
        <v>5.5.1.1-2 Leaching and runoff</v>
      </c>
      <c r="D46" s="19" t="str" cm="1">
        <f t="array" ref="D46">Common_InputFunctions.Utility_DisplayArrayInTable(Scope3_SourceData.Scope3_Livestock_Data(), Table_SourceData_Scope3_Animals[[#Headers],[Category]], 0, 2)</f>
        <v>Beef cattle</v>
      </c>
      <c r="E46" s="19" t="str" cm="1">
        <f t="array" ref="E46">Common_InputFunctions.Utility_DisplayArrayInTable(Scope3_SourceData.Scope3_Livestock_Data(), Table_SourceData_Scope3_Animals[[#Headers],[Category]], 0, 2)</f>
        <v>Cattle, for prime beef</v>
      </c>
      <c r="F46" s="19" t="str" cm="1">
        <f t="array" ref="F46">Common_InputFunctions.Utility_DisplayArrayInTable(Scope3_SourceData.Scope3_Livestock_Data(), Table_SourceData_Scope3_Animals[[#Headers],[Category]], 0, 2)</f>
        <v>SA</v>
      </c>
      <c r="G46" s="19" t="str" cm="1">
        <f t="array" ref="G46">Common_InputFunctions.Utility_DisplayArrayInTable(Scope3_SourceData.Scope3_Livestock_Data(), Table_SourceData_Scope3_Animals[[#Headers],[Category]], 0, 2)</f>
        <v>kg liveweight</v>
      </c>
      <c r="H46" s="19" cm="1">
        <f t="array" ref="H46">Common_InputFunctions.Utility_DisplayArrayInTable(Scope3_SourceData.Scope3_Livestock_Data(), Table_SourceData_Scope3_Animals[[#Headers],[Category]], 0, 2)</f>
        <v>12.3</v>
      </c>
      <c r="I46" s="19" t="str" cm="1">
        <f t="array" ref="I46">Common_InputFunctions.Utility_DisplayArrayInTable(Scope3_SourceData.Scope3_Livestock_Data(), Table_SourceData_Scope3_Animals[[#Headers],[Category]], 0, 2)</f>
        <v>at market</v>
      </c>
      <c r="J46" s="19" t="s">
        <v>1169</v>
      </c>
      <c r="L46" s="19" t="s">
        <v>1177</v>
      </c>
      <c r="M46" s="19" t="s">
        <v>524</v>
      </c>
    </row>
    <row r="47" spans="1:13" ht="20.100000000000001" customHeight="1" x14ac:dyDescent="0.2">
      <c r="D47" s="19" t="str" cm="1">
        <f t="array" ref="D47">Common_InputFunctions.Utility_DisplayArrayInTable(Scope3_SourceData.Scope3_Livestock_Data(), Table_SourceData_Scope3_Animals[[#Headers],[Category]], 0, 2)</f>
        <v>Beef cattle</v>
      </c>
      <c r="E47" s="19" t="str" cm="1">
        <f t="array" ref="E47">Common_InputFunctions.Utility_DisplayArrayInTable(Scope3_SourceData.Scope3_Livestock_Data(), Table_SourceData_Scope3_Animals[[#Headers],[Category]], 0, 2)</f>
        <v>Cattle, for prime beef</v>
      </c>
      <c r="F47" s="19" t="str" cm="1">
        <f t="array" ref="F47">Common_InputFunctions.Utility_DisplayArrayInTable(Scope3_SourceData.Scope3_Livestock_Data(), Table_SourceData_Scope3_Animals[[#Headers],[Category]], 0, 2)</f>
        <v>TAS</v>
      </c>
      <c r="G47" s="19" t="str" cm="1">
        <f t="array" ref="G47">Common_InputFunctions.Utility_DisplayArrayInTable(Scope3_SourceData.Scope3_Livestock_Data(), Table_SourceData_Scope3_Animals[[#Headers],[Category]], 0, 2)</f>
        <v>kg liveweight</v>
      </c>
      <c r="H47" s="19" cm="1">
        <f t="array" ref="H47">Common_InputFunctions.Utility_DisplayArrayInTable(Scope3_SourceData.Scope3_Livestock_Data(), Table_SourceData_Scope3_Animals[[#Headers],[Category]], 0, 2)</f>
        <v>11.5</v>
      </c>
      <c r="I47" s="19" t="str" cm="1">
        <f t="array" ref="I47">Common_InputFunctions.Utility_DisplayArrayInTable(Scope3_SourceData.Scope3_Livestock_Data(), Table_SourceData_Scope3_Animals[[#Headers],[Category]], 0, 2)</f>
        <v>at market</v>
      </c>
      <c r="J47" s="19" t="s">
        <v>1169</v>
      </c>
      <c r="L47" s="19" t="s">
        <v>1178</v>
      </c>
      <c r="M47" s="19" t="s">
        <v>524</v>
      </c>
    </row>
    <row r="48" spans="1:13" ht="20.100000000000001" customHeight="1" x14ac:dyDescent="0.2">
      <c r="D48" s="19" t="str" cm="1">
        <f t="array" ref="D48">Common_InputFunctions.Utility_DisplayArrayInTable(Scope3_SourceData.Scope3_Livestock_Data(), Table_SourceData_Scope3_Animals[[#Headers],[Category]], 0, 2)</f>
        <v>Beef cattle</v>
      </c>
      <c r="E48" s="19" t="str" cm="1">
        <f t="array" ref="E48">Common_InputFunctions.Utility_DisplayArrayInTable(Scope3_SourceData.Scope3_Livestock_Data(), Table_SourceData_Scope3_Animals[[#Headers],[Category]], 0, 2)</f>
        <v>Cattle, for prime beef</v>
      </c>
      <c r="F48" s="19" t="str" cm="1">
        <f t="array" ref="F48">Common_InputFunctions.Utility_DisplayArrayInTable(Scope3_SourceData.Scope3_Livestock_Data(), Table_SourceData_Scope3_Animals[[#Headers],[Category]], 0, 2)</f>
        <v>VIC</v>
      </c>
      <c r="G48" s="19" t="str" cm="1">
        <f t="array" ref="G48">Common_InputFunctions.Utility_DisplayArrayInTable(Scope3_SourceData.Scope3_Livestock_Data(), Table_SourceData_Scope3_Animals[[#Headers],[Category]], 0, 2)</f>
        <v>kg liveweight</v>
      </c>
      <c r="H48" s="19" cm="1">
        <f t="array" ref="H48">Common_InputFunctions.Utility_DisplayArrayInTable(Scope3_SourceData.Scope3_Livestock_Data(), Table_SourceData_Scope3_Animals[[#Headers],[Category]], 0, 2)</f>
        <v>11.5</v>
      </c>
      <c r="I48" s="19" t="str" cm="1">
        <f t="array" ref="I48">Common_InputFunctions.Utility_DisplayArrayInTable(Scope3_SourceData.Scope3_Livestock_Data(), Table_SourceData_Scope3_Animals[[#Headers],[Category]], 0, 2)</f>
        <v>at market</v>
      </c>
      <c r="J48" s="19" t="s">
        <v>1169</v>
      </c>
      <c r="L48" s="19" t="s">
        <v>1179</v>
      </c>
      <c r="M48" s="19" t="s">
        <v>524</v>
      </c>
    </row>
    <row r="49" spans="1:13" ht="20.100000000000001" customHeight="1" x14ac:dyDescent="0.2">
      <c r="A49" s="80" t="s">
        <v>1</v>
      </c>
      <c r="D49" s="19" t="str" cm="1">
        <f t="array" ref="D49">Common_InputFunctions.Utility_DisplayArrayInTable(Scope3_SourceData.Scope3_Livestock_Data(), Table_SourceData_Scope3_Animals[[#Headers],[Category]], 0, 2)</f>
        <v>Beef cattle</v>
      </c>
      <c r="E49" s="19" t="str" cm="1">
        <f t="array" ref="E49">Common_InputFunctions.Utility_DisplayArrayInTable(Scope3_SourceData.Scope3_Livestock_Data(), Table_SourceData_Scope3_Animals[[#Headers],[Category]], 0, 2)</f>
        <v>Cattle, for prime beef</v>
      </c>
      <c r="F49" s="19" t="str" cm="1">
        <f t="array" ref="F49">Common_InputFunctions.Utility_DisplayArrayInTable(Scope3_SourceData.Scope3_Livestock_Data(), Table_SourceData_Scope3_Animals[[#Headers],[Category]], 0, 2)</f>
        <v>WA</v>
      </c>
      <c r="G49" s="19" t="str" cm="1">
        <f t="array" ref="G49">Common_InputFunctions.Utility_DisplayArrayInTable(Scope3_SourceData.Scope3_Livestock_Data(), Table_SourceData_Scope3_Animals[[#Headers],[Category]], 0, 2)</f>
        <v>kg liveweight</v>
      </c>
      <c r="H49" s="19" cm="1">
        <f t="array" ref="H49">Common_InputFunctions.Utility_DisplayArrayInTable(Scope3_SourceData.Scope3_Livestock_Data(), Table_SourceData_Scope3_Animals[[#Headers],[Category]], 0, 2)</f>
        <v>20.8</v>
      </c>
      <c r="I49" s="19" t="str" cm="1">
        <f t="array" ref="I49">Common_InputFunctions.Utility_DisplayArrayInTable(Scope3_SourceData.Scope3_Livestock_Data(), Table_SourceData_Scope3_Animals[[#Headers],[Category]], 0, 2)</f>
        <v>at market</v>
      </c>
      <c r="J49" s="19" t="s">
        <v>1169</v>
      </c>
      <c r="L49" s="1" t="s">
        <v>991</v>
      </c>
      <c r="M49" s="1" t="s">
        <v>991</v>
      </c>
    </row>
    <row r="50" spans="1:13" ht="20.100000000000001" customHeight="1" x14ac:dyDescent="0.2">
      <c r="A50" s="5" t="str">
        <f>HYPERLINK("#'Constants - Poultry'!A1", "Constants - Poultry")</f>
        <v>Constants - Poultry</v>
      </c>
      <c r="D50" s="19" t="str" cm="1">
        <f t="array" ref="D50">Common_InputFunctions.Utility_DisplayArrayInTable(Scope3_SourceData.Scope3_Livestock_Data(), Table_SourceData_Scope3_Animals[[#Headers],[Category]], 0, 2)</f>
        <v>Beef cattle</v>
      </c>
      <c r="E50" s="19" t="str" cm="1">
        <f t="array" ref="E50">Common_InputFunctions.Utility_DisplayArrayInTable(Scope3_SourceData.Scope3_Livestock_Data(), Table_SourceData_Scope3_Animals[[#Headers],[Category]], 0, 2)</f>
        <v>Cattle, weaners</v>
      </c>
      <c r="F50" s="19" t="str" cm="1">
        <f t="array" ref="F50">Common_InputFunctions.Utility_DisplayArrayInTable(Scope3_SourceData.Scope3_Livestock_Data(), Table_SourceData_Scope3_Animals[[#Headers],[Category]], 0, 2)</f>
        <v>Australia</v>
      </c>
      <c r="G50" s="19" t="str" cm="1">
        <f t="array" ref="G50">Common_InputFunctions.Utility_DisplayArrayInTable(Scope3_SourceData.Scope3_Livestock_Data(), Table_SourceData_Scope3_Animals[[#Headers],[Category]], 0, 2)</f>
        <v>kg liveweight</v>
      </c>
      <c r="H50" s="19" cm="1">
        <f t="array" ref="H50">Common_InputFunctions.Utility_DisplayArrayInTable(Scope3_SourceData.Scope3_Livestock_Data(), Table_SourceData_Scope3_Animals[[#Headers],[Category]], 0, 2)</f>
        <v>15.5</v>
      </c>
      <c r="I50" s="19" t="str" cm="1">
        <f t="array" ref="I50">Common_InputFunctions.Utility_DisplayArrayInTable(Scope3_SourceData.Scope3_Livestock_Data(), Table_SourceData_Scope3_Animals[[#Headers],[Category]], 0, 2)</f>
        <v>at market</v>
      </c>
      <c r="J50" s="19" t="s">
        <v>1169</v>
      </c>
    </row>
    <row r="51" spans="1:13" ht="20.100000000000001" customHeight="1" x14ac:dyDescent="0.2">
      <c r="A51" s="5" t="str">
        <f>HYPERLINK("#'Constants - Common livestock'!A1", "Constants - Common Livestock")</f>
        <v>Constants - Common Livestock</v>
      </c>
      <c r="D51" s="19" t="str" cm="1">
        <f t="array" ref="D51">Common_InputFunctions.Utility_DisplayArrayInTable(Scope3_SourceData.Scope3_Livestock_Data(), Table_SourceData_Scope3_Animals[[#Headers],[Category]], 0, 2)</f>
        <v>Beef cattle</v>
      </c>
      <c r="E51" s="19" t="str" cm="1">
        <f t="array" ref="E51">Common_InputFunctions.Utility_DisplayArrayInTable(Scope3_SourceData.Scope3_Livestock_Data(), Table_SourceData_Scope3_Animals[[#Headers],[Category]], 0, 2)</f>
        <v>Cattle, weaners</v>
      </c>
      <c r="F51" s="19" t="str" cm="1">
        <f t="array" ref="F51">Common_InputFunctions.Utility_DisplayArrayInTable(Scope3_SourceData.Scope3_Livestock_Data(), Table_SourceData_Scope3_Animals[[#Headers],[Category]], 0, 2)</f>
        <v>NSW</v>
      </c>
      <c r="G51" s="19" t="str" cm="1">
        <f t="array" ref="G51">Common_InputFunctions.Utility_DisplayArrayInTable(Scope3_SourceData.Scope3_Livestock_Data(), Table_SourceData_Scope3_Animals[[#Headers],[Category]], 0, 2)</f>
        <v>kg liveweight</v>
      </c>
      <c r="H51" s="19" cm="1">
        <f t="array" ref="H51">Common_InputFunctions.Utility_DisplayArrayInTable(Scope3_SourceData.Scope3_Livestock_Data(), Table_SourceData_Scope3_Animals[[#Headers],[Category]], 0, 2)</f>
        <v>12.7</v>
      </c>
      <c r="I51" s="19" t="str" cm="1">
        <f t="array" ref="I51">Common_InputFunctions.Utility_DisplayArrayInTable(Scope3_SourceData.Scope3_Livestock_Data(), Table_SourceData_Scope3_Animals[[#Headers],[Category]], 0, 2)</f>
        <v>at market</v>
      </c>
      <c r="J51" s="19" t="s">
        <v>1169</v>
      </c>
    </row>
    <row r="52" spans="1:13" ht="20.100000000000001" customHeight="1" x14ac:dyDescent="0.2">
      <c r="A52" s="5" t="str">
        <f>HYPERLINK("#'Constants - Electricity'!A1", "Constants - Electricity")</f>
        <v>Constants - Electricity</v>
      </c>
      <c r="D52" s="19" t="str" cm="1">
        <f t="array" ref="D52">Common_InputFunctions.Utility_DisplayArrayInTable(Scope3_SourceData.Scope3_Livestock_Data(), Table_SourceData_Scope3_Animals[[#Headers],[Category]], 0, 2)</f>
        <v>Beef cattle</v>
      </c>
      <c r="E52" s="19" t="str" cm="1">
        <f t="array" ref="E52">Common_InputFunctions.Utility_DisplayArrayInTable(Scope3_SourceData.Scope3_Livestock_Data(), Table_SourceData_Scope3_Animals[[#Headers],[Category]], 0, 2)</f>
        <v>Cattle, weaners</v>
      </c>
      <c r="F52" s="19" t="str" cm="1">
        <f t="array" ref="F52">Common_InputFunctions.Utility_DisplayArrayInTable(Scope3_SourceData.Scope3_Livestock_Data(), Table_SourceData_Scope3_Animals[[#Headers],[Category]], 0, 2)</f>
        <v>NT</v>
      </c>
      <c r="G52" s="19" t="str" cm="1">
        <f t="array" ref="G52">Common_InputFunctions.Utility_DisplayArrayInTable(Scope3_SourceData.Scope3_Livestock_Data(), Table_SourceData_Scope3_Animals[[#Headers],[Category]], 0, 2)</f>
        <v>kg liveweight</v>
      </c>
      <c r="H52" s="19" cm="1">
        <f t="array" ref="H52">Common_InputFunctions.Utility_DisplayArrayInTable(Scope3_SourceData.Scope3_Livestock_Data(), Table_SourceData_Scope3_Animals[[#Headers],[Category]], 0, 2)</f>
        <v>19.100000000000001</v>
      </c>
      <c r="I52" s="19" t="str" cm="1">
        <f t="array" ref="I52">Common_InputFunctions.Utility_DisplayArrayInTable(Scope3_SourceData.Scope3_Livestock_Data(), Table_SourceData_Scope3_Animals[[#Headers],[Category]], 0, 2)</f>
        <v>at market</v>
      </c>
      <c r="J52" s="19" t="s">
        <v>1169</v>
      </c>
    </row>
    <row r="53" spans="1:13" ht="20.100000000000001" customHeight="1" x14ac:dyDescent="0.2">
      <c r="A53" s="5" t="str">
        <f>HYPERLINK("#'Constants - Fertiliser'!A1", "Constants - Fertiliser")</f>
        <v>Constants - Fertiliser</v>
      </c>
      <c r="D53" s="19" t="str" cm="1">
        <f t="array" ref="D53">Common_InputFunctions.Utility_DisplayArrayInTable(Scope3_SourceData.Scope3_Livestock_Data(), Table_SourceData_Scope3_Animals[[#Headers],[Category]], 0, 2)</f>
        <v>Beef cattle</v>
      </c>
      <c r="E53" s="19" t="str" cm="1">
        <f t="array" ref="E53">Common_InputFunctions.Utility_DisplayArrayInTable(Scope3_SourceData.Scope3_Livestock_Data(), Table_SourceData_Scope3_Animals[[#Headers],[Category]], 0, 2)</f>
        <v>Cattle, weaners</v>
      </c>
      <c r="F53" s="19" t="str" cm="1">
        <f t="array" ref="F53">Common_InputFunctions.Utility_DisplayArrayInTable(Scope3_SourceData.Scope3_Livestock_Data(), Table_SourceData_Scope3_Animals[[#Headers],[Category]], 0, 2)</f>
        <v>QLD</v>
      </c>
      <c r="G53" s="19" t="str" cm="1">
        <f t="array" ref="G53">Common_InputFunctions.Utility_DisplayArrayInTable(Scope3_SourceData.Scope3_Livestock_Data(), Table_SourceData_Scope3_Animals[[#Headers],[Category]], 0, 2)</f>
        <v>kg liveweight</v>
      </c>
      <c r="H53" s="19" cm="1">
        <f t="array" ref="H53">Common_InputFunctions.Utility_DisplayArrayInTable(Scope3_SourceData.Scope3_Livestock_Data(), Table_SourceData_Scope3_Animals[[#Headers],[Category]], 0, 2)</f>
        <v>20.5</v>
      </c>
      <c r="I53" s="19" t="str" cm="1">
        <f t="array" ref="I53">Common_InputFunctions.Utility_DisplayArrayInTable(Scope3_SourceData.Scope3_Livestock_Data(), Table_SourceData_Scope3_Animals[[#Headers],[Category]], 0, 2)</f>
        <v>at market</v>
      </c>
      <c r="J53" s="19" t="s">
        <v>1169</v>
      </c>
    </row>
    <row r="54" spans="1:13" ht="20.100000000000001" customHeight="1" x14ac:dyDescent="0.2">
      <c r="A54" s="5" t="str">
        <f>HYPERLINK("#'Constants - Fuel'!A1", "Constants - Fuel")</f>
        <v>Constants - Fuel</v>
      </c>
      <c r="D54" s="19" t="str" cm="1">
        <f t="array" ref="D54">Common_InputFunctions.Utility_DisplayArrayInTable(Scope3_SourceData.Scope3_Livestock_Data(), Table_SourceData_Scope3_Animals[[#Headers],[Category]], 0, 2)</f>
        <v>Beef cattle</v>
      </c>
      <c r="E54" s="19" t="str" cm="1">
        <f t="array" ref="E54">Common_InputFunctions.Utility_DisplayArrayInTable(Scope3_SourceData.Scope3_Livestock_Data(), Table_SourceData_Scope3_Animals[[#Headers],[Category]], 0, 2)</f>
        <v>Cattle, weaners</v>
      </c>
      <c r="F54" s="19" t="str" cm="1">
        <f t="array" ref="F54">Common_InputFunctions.Utility_DisplayArrayInTable(Scope3_SourceData.Scope3_Livestock_Data(), Table_SourceData_Scope3_Animals[[#Headers],[Category]], 0, 2)</f>
        <v>SA</v>
      </c>
      <c r="G54" s="19" t="str" cm="1">
        <f t="array" ref="G54">Common_InputFunctions.Utility_DisplayArrayInTable(Scope3_SourceData.Scope3_Livestock_Data(), Table_SourceData_Scope3_Animals[[#Headers],[Category]], 0, 2)</f>
        <v>kg liveweight</v>
      </c>
      <c r="H54" s="19" cm="1">
        <f t="array" ref="H54">Common_InputFunctions.Utility_DisplayArrayInTable(Scope3_SourceData.Scope3_Livestock_Data(), Table_SourceData_Scope3_Animals[[#Headers],[Category]], 0, 2)</f>
        <v>10.8</v>
      </c>
      <c r="I54" s="19" t="str" cm="1">
        <f t="array" ref="I54">Common_InputFunctions.Utility_DisplayArrayInTable(Scope3_SourceData.Scope3_Livestock_Data(), Table_SourceData_Scope3_Animals[[#Headers],[Category]], 0, 2)</f>
        <v>at market</v>
      </c>
      <c r="J54" s="19" t="s">
        <v>1169</v>
      </c>
    </row>
    <row r="55" spans="1:13" ht="20.100000000000001" customHeight="1" x14ac:dyDescent="0.2">
      <c r="A55" s="81" t="str">
        <f>HYPERLINK("#'Constants - Scope 3'!A1", "Constants - Scope 3")</f>
        <v>Constants - Scope 3</v>
      </c>
      <c r="D55" s="19" t="str" cm="1">
        <f t="array" ref="D55">Common_InputFunctions.Utility_DisplayArrayInTable(Scope3_SourceData.Scope3_Livestock_Data(), Table_SourceData_Scope3_Animals[[#Headers],[Category]], 0, 2)</f>
        <v>Beef cattle</v>
      </c>
      <c r="E55" s="19" t="str" cm="1">
        <f t="array" ref="E55">Common_InputFunctions.Utility_DisplayArrayInTable(Scope3_SourceData.Scope3_Livestock_Data(), Table_SourceData_Scope3_Animals[[#Headers],[Category]], 0, 2)</f>
        <v>Cattle, weaners</v>
      </c>
      <c r="F55" s="19" t="str" cm="1">
        <f t="array" ref="F55">Common_InputFunctions.Utility_DisplayArrayInTable(Scope3_SourceData.Scope3_Livestock_Data(), Table_SourceData_Scope3_Animals[[#Headers],[Category]], 0, 2)</f>
        <v>TAS</v>
      </c>
      <c r="G55" s="19" t="str" cm="1">
        <f t="array" ref="G55">Common_InputFunctions.Utility_DisplayArrayInTable(Scope3_SourceData.Scope3_Livestock_Data(), Table_SourceData_Scope3_Animals[[#Headers],[Category]], 0, 2)</f>
        <v>kg liveweight</v>
      </c>
      <c r="H55" s="19" cm="1">
        <f t="array" ref="H55">Common_InputFunctions.Utility_DisplayArrayInTable(Scope3_SourceData.Scope3_Livestock_Data(), Table_SourceData_Scope3_Animals[[#Headers],[Category]], 0, 2)</f>
        <v>13.4</v>
      </c>
      <c r="I55" s="19" t="str" cm="1">
        <f t="array" ref="I55">Common_InputFunctions.Utility_DisplayArrayInTable(Scope3_SourceData.Scope3_Livestock_Data(), Table_SourceData_Scope3_Animals[[#Headers],[Category]], 0, 2)</f>
        <v>at market</v>
      </c>
      <c r="J55" s="19" t="s">
        <v>1169</v>
      </c>
    </row>
    <row r="56" spans="1:13" ht="20.100000000000001" customHeight="1" x14ac:dyDescent="0.2">
      <c r="A56" s="5" t="str">
        <f>HYPERLINK("#'Constants - Solid Waste'!A1", "Constants - Solid Waste")</f>
        <v>Constants - Solid Waste</v>
      </c>
      <c r="D56" s="19" t="str" cm="1">
        <f t="array" ref="D56">Common_InputFunctions.Utility_DisplayArrayInTable(Scope3_SourceData.Scope3_Livestock_Data(), Table_SourceData_Scope3_Animals[[#Headers],[Category]], 0, 2)</f>
        <v>Beef cattle</v>
      </c>
      <c r="E56" s="19" t="str" cm="1">
        <f t="array" ref="E56">Common_InputFunctions.Utility_DisplayArrayInTable(Scope3_SourceData.Scope3_Livestock_Data(), Table_SourceData_Scope3_Animals[[#Headers],[Category]], 0, 2)</f>
        <v>Cattle, weaners</v>
      </c>
      <c r="F56" s="19" t="str" cm="1">
        <f t="array" ref="F56">Common_InputFunctions.Utility_DisplayArrayInTable(Scope3_SourceData.Scope3_Livestock_Data(), Table_SourceData_Scope3_Animals[[#Headers],[Category]], 0, 2)</f>
        <v>VIC</v>
      </c>
      <c r="G56" s="19" t="str" cm="1">
        <f t="array" ref="G56">Common_InputFunctions.Utility_DisplayArrayInTable(Scope3_SourceData.Scope3_Livestock_Data(), Table_SourceData_Scope3_Animals[[#Headers],[Category]], 0, 2)</f>
        <v>kg liveweight</v>
      </c>
      <c r="H56" s="19" cm="1">
        <f t="array" ref="H56">Common_InputFunctions.Utility_DisplayArrayInTable(Scope3_SourceData.Scope3_Livestock_Data(), Table_SourceData_Scope3_Animals[[#Headers],[Category]], 0, 2)</f>
        <v>12</v>
      </c>
      <c r="I56" s="19" t="str" cm="1">
        <f t="array" ref="I56">Common_InputFunctions.Utility_DisplayArrayInTable(Scope3_SourceData.Scope3_Livestock_Data(), Table_SourceData_Scope3_Animals[[#Headers],[Category]], 0, 2)</f>
        <v>at market</v>
      </c>
      <c r="J56" s="19" t="s">
        <v>1169</v>
      </c>
    </row>
    <row r="57" spans="1:13" ht="20.100000000000001" customHeight="1" x14ac:dyDescent="0.2">
      <c r="A57" s="5" t="str">
        <f>HYPERLINK("#'Constants - Common'!A1", "Constants - Common")</f>
        <v>Constants - Common</v>
      </c>
      <c r="D57" s="19" t="str" cm="1">
        <f t="array" ref="D57">Common_InputFunctions.Utility_DisplayArrayInTable(Scope3_SourceData.Scope3_Livestock_Data(), Table_SourceData_Scope3_Animals[[#Headers],[Category]], 0, 2)</f>
        <v>Beef cattle</v>
      </c>
      <c r="E57" s="19" t="str" cm="1">
        <f t="array" ref="E57">Common_InputFunctions.Utility_DisplayArrayInTable(Scope3_SourceData.Scope3_Livestock_Data(), Table_SourceData_Scope3_Animals[[#Headers],[Category]], 0, 2)</f>
        <v>Cattle, weaners</v>
      </c>
      <c r="F57" s="19" t="str" cm="1">
        <f t="array" ref="F57">Common_InputFunctions.Utility_DisplayArrayInTable(Scope3_SourceData.Scope3_Livestock_Data(), Table_SourceData_Scope3_Animals[[#Headers],[Category]], 0, 2)</f>
        <v>WA</v>
      </c>
      <c r="G57" s="19" t="str" cm="1">
        <f t="array" ref="G57">Common_InputFunctions.Utility_DisplayArrayInTable(Scope3_SourceData.Scope3_Livestock_Data(), Table_SourceData_Scope3_Animals[[#Headers],[Category]], 0, 2)</f>
        <v>kg liveweight</v>
      </c>
      <c r="H57" s="19" cm="1">
        <f t="array" ref="H57">Common_InputFunctions.Utility_DisplayArrayInTable(Scope3_SourceData.Scope3_Livestock_Data(), Table_SourceData_Scope3_Animals[[#Headers],[Category]], 0, 2)</f>
        <v>12.4</v>
      </c>
      <c r="I57" s="19" t="str" cm="1">
        <f t="array" ref="I57">Common_InputFunctions.Utility_DisplayArrayInTable(Scope3_SourceData.Scope3_Livestock_Data(), Table_SourceData_Scope3_Animals[[#Headers],[Category]], 0, 2)</f>
        <v>at market</v>
      </c>
      <c r="J57" s="19" t="s">
        <v>1169</v>
      </c>
    </row>
    <row r="58" spans="1:13" ht="20.100000000000001" customHeight="1" x14ac:dyDescent="0.2">
      <c r="D58" s="19" t="str" cm="1">
        <f t="array" ref="D58">Common_InputFunctions.Utility_DisplayArrayInTable(Scope3_SourceData.Scope3_Livestock_Data(), Table_SourceData_Scope3_Animals[[#Headers],[Category]], 0, 2)</f>
        <v>Chickens</v>
      </c>
      <c r="E58" s="19" t="str" cm="1">
        <f t="array" ref="E58">Common_InputFunctions.Utility_DisplayArrayInTable(Scope3_SourceData.Scope3_Livestock_Data(), Table_SourceData_Scope3_Animals[[#Headers],[Category]], 0, 2)</f>
        <v>Chickens</v>
      </c>
      <c r="F58" s="19" t="str" cm="1">
        <f t="array" ref="F58">Common_InputFunctions.Utility_DisplayArrayInTable(Scope3_SourceData.Scope3_Livestock_Data(), Table_SourceData_Scope3_Animals[[#Headers],[Category]], 0, 2)</f>
        <v>Australia</v>
      </c>
      <c r="G58" s="19" t="str" cm="1">
        <f t="array" ref="G58">Common_InputFunctions.Utility_DisplayArrayInTable(Scope3_SourceData.Scope3_Livestock_Data(), Table_SourceData_Scope3_Animals[[#Headers],[Category]], 0, 2)</f>
        <v>kg liveweight</v>
      </c>
      <c r="H58" s="19" cm="1">
        <f t="array" ref="H58">Common_InputFunctions.Utility_DisplayArrayInTable(Scope3_SourceData.Scope3_Livestock_Data(), Table_SourceData_Scope3_Animals[[#Headers],[Category]], 0, 2)</f>
        <v>1.36</v>
      </c>
      <c r="I58" s="19" t="str" cm="1">
        <f t="array" ref="I58">Common_InputFunctions.Utility_DisplayArrayInTable(Scope3_SourceData.Scope3_Livestock_Data(), Table_SourceData_Scope3_Animals[[#Headers],[Category]], 0, 2)</f>
        <v>at market</v>
      </c>
      <c r="J58" s="19" t="s">
        <v>1169</v>
      </c>
    </row>
    <row r="59" spans="1:13" ht="20.100000000000001" customHeight="1" x14ac:dyDescent="0.2">
      <c r="D59" s="19" t="str" cm="1">
        <f t="array" ref="D59">Common_InputFunctions.Utility_DisplayArrayInTable(Scope3_SourceData.Scope3_Livestock_Data(), Table_SourceData_Scope3_Animals[[#Headers],[Category]], 0, 2)</f>
        <v>Dairy cattle</v>
      </c>
      <c r="E59" s="19" t="str" cm="1">
        <f t="array" ref="E59">Common_InputFunctions.Utility_DisplayArrayInTable(Scope3_SourceData.Scope3_Livestock_Data(), Table_SourceData_Scope3_Animals[[#Headers],[Category]], 0, 2)</f>
        <v>Dairy cows</v>
      </c>
      <c r="F59" s="19" t="str" cm="1">
        <f t="array" ref="F59">Common_InputFunctions.Utility_DisplayArrayInTable(Scope3_SourceData.Scope3_Livestock_Data(), Table_SourceData_Scope3_Animals[[#Headers],[Category]], 0, 2)</f>
        <v>VIC</v>
      </c>
      <c r="G59" s="19" t="str" cm="1">
        <f t="array" ref="G59">Common_InputFunctions.Utility_DisplayArrayInTable(Scope3_SourceData.Scope3_Livestock_Data(), Table_SourceData_Scope3_Animals[[#Headers],[Category]], 0, 2)</f>
        <v>kg liveweight</v>
      </c>
      <c r="H59" s="19" cm="1">
        <f t="array" ref="H59">Common_InputFunctions.Utility_DisplayArrayInTable(Scope3_SourceData.Scope3_Livestock_Data(), Table_SourceData_Scope3_Animals[[#Headers],[Category]], 0, 2)</f>
        <v>4.41</v>
      </c>
      <c r="I59" s="19" t="str" cm="1">
        <f t="array" ref="I59">Common_InputFunctions.Utility_DisplayArrayInTable(Scope3_SourceData.Scope3_Livestock_Data(), Table_SourceData_Scope3_Animals[[#Headers],[Category]], 0, 2)</f>
        <v>at market</v>
      </c>
      <c r="J59" s="19" t="s">
        <v>1169</v>
      </c>
    </row>
    <row r="60" spans="1:13" ht="20.100000000000001" customHeight="1" x14ac:dyDescent="0.2">
      <c r="D60" s="19" t="str" cm="1">
        <f t="array" ref="D60">Common_InputFunctions.Utility_DisplayArrayInTable(Scope3_SourceData.Scope3_Livestock_Data(), Table_SourceData_Scope3_Animals[[#Headers],[Category]], 0, 2)</f>
        <v>Pigs</v>
      </c>
      <c r="E60" s="19" t="str" cm="1">
        <f t="array" ref="E60">Common_InputFunctions.Utility_DisplayArrayInTable(Scope3_SourceData.Scope3_Livestock_Data(), Table_SourceData_Scope3_Animals[[#Headers],[Category]], 0, 2)</f>
        <v>Pigs</v>
      </c>
      <c r="F60" s="19" t="str" cm="1">
        <f t="array" ref="F60">Common_InputFunctions.Utility_DisplayArrayInTable(Scope3_SourceData.Scope3_Livestock_Data(), Table_SourceData_Scope3_Animals[[#Headers],[Category]], 0, 2)</f>
        <v>Australia</v>
      </c>
      <c r="G60" s="19" t="str" cm="1">
        <f t="array" ref="G60">Common_InputFunctions.Utility_DisplayArrayInTable(Scope3_SourceData.Scope3_Livestock_Data(), Table_SourceData_Scope3_Animals[[#Headers],[Category]], 0, 2)</f>
        <v>kg liveweight</v>
      </c>
      <c r="H60" s="19" cm="1">
        <f t="array" ref="H60">Common_InputFunctions.Utility_DisplayArrayInTable(Scope3_SourceData.Scope3_Livestock_Data(), Table_SourceData_Scope3_Animals[[#Headers],[Category]], 0, 2)</f>
        <v>3.38</v>
      </c>
      <c r="I60" s="19" t="str" cm="1">
        <f t="array" ref="I60">Common_InputFunctions.Utility_DisplayArrayInTable(Scope3_SourceData.Scope3_Livestock_Data(), Table_SourceData_Scope3_Animals[[#Headers],[Category]], 0, 2)</f>
        <v>at market</v>
      </c>
      <c r="J60" s="19" t="s">
        <v>1169</v>
      </c>
    </row>
    <row r="61" spans="1:13" ht="20.100000000000001" customHeight="1" x14ac:dyDescent="0.2">
      <c r="D61" s="19" t="str" cm="1">
        <f t="array" ref="D61">Common_InputFunctions.Utility_DisplayArrayInTable(Scope3_SourceData.Scope3_Livestock_Data(), Table_SourceData_Scope3_Animals[[#Headers],[Category]], 0, 2)</f>
        <v>Sheep</v>
      </c>
      <c r="E61" s="19" t="str" cm="1">
        <f t="array" ref="E61">Common_InputFunctions.Utility_DisplayArrayInTable(Scope3_SourceData.Scope3_Livestock_Data(), Table_SourceData_Scope3_Animals[[#Headers],[Category]], 0, 2)</f>
        <v>Sheep, for mutton</v>
      </c>
      <c r="F61" s="19" t="str" cm="1">
        <f t="array" ref="F61">Common_InputFunctions.Utility_DisplayArrayInTable(Scope3_SourceData.Scope3_Livestock_Data(), Table_SourceData_Scope3_Animals[[#Headers],[Category]], 0, 2)</f>
        <v>Australia</v>
      </c>
      <c r="G61" s="19" t="str" cm="1">
        <f t="array" ref="G61">Common_InputFunctions.Utility_DisplayArrayInTable(Scope3_SourceData.Scope3_Livestock_Data(), Table_SourceData_Scope3_Animals[[#Headers],[Category]], 0, 2)</f>
        <v>kg liveweight</v>
      </c>
      <c r="H61" s="19" cm="1">
        <f t="array" ref="H61">Common_InputFunctions.Utility_DisplayArrayInTable(Scope3_SourceData.Scope3_Livestock_Data(), Table_SourceData_Scope3_Animals[[#Headers],[Category]], 0, 2)</f>
        <v>6.81</v>
      </c>
      <c r="I61" s="19" t="str" cm="1">
        <f t="array" ref="I61">Common_InputFunctions.Utility_DisplayArrayInTable(Scope3_SourceData.Scope3_Livestock_Data(), Table_SourceData_Scope3_Animals[[#Headers],[Category]], 0, 2)</f>
        <v>at market</v>
      </c>
      <c r="J61" s="19" t="s">
        <v>1169</v>
      </c>
    </row>
    <row r="62" spans="1:13" ht="20.100000000000001" customHeight="1" x14ac:dyDescent="0.2">
      <c r="D62" s="19" t="str" cm="1">
        <f t="array" ref="D62">Common_InputFunctions.Utility_DisplayArrayInTable(Scope3_SourceData.Scope3_Livestock_Data(), Table_SourceData_Scope3_Animals[[#Headers],[Category]], 0, 2)</f>
        <v>Sheep</v>
      </c>
      <c r="E62" s="19" t="str" cm="1">
        <f t="array" ref="E62">Common_InputFunctions.Utility_DisplayArrayInTable(Scope3_SourceData.Scope3_Livestock_Data(), Table_SourceData_Scope3_Animals[[#Headers],[Category]], 0, 2)</f>
        <v>Sheep, for mutton</v>
      </c>
      <c r="F62" s="19" t="str" cm="1">
        <f t="array" ref="F62">Common_InputFunctions.Utility_DisplayArrayInTable(Scope3_SourceData.Scope3_Livestock_Data(), Table_SourceData_Scope3_Animals[[#Headers],[Category]], 0, 2)</f>
        <v>NSW</v>
      </c>
      <c r="G62" s="19" t="str" cm="1">
        <f t="array" ref="G62">Common_InputFunctions.Utility_DisplayArrayInTable(Scope3_SourceData.Scope3_Livestock_Data(), Table_SourceData_Scope3_Animals[[#Headers],[Category]], 0, 2)</f>
        <v>kg liveweight</v>
      </c>
      <c r="H62" s="19" cm="1">
        <f t="array" ref="H62">Common_InputFunctions.Utility_DisplayArrayInTable(Scope3_SourceData.Scope3_Livestock_Data(), Table_SourceData_Scope3_Animals[[#Headers],[Category]], 0, 2)</f>
        <v>2.2599999999999998</v>
      </c>
      <c r="I62" s="19" t="str" cm="1">
        <f t="array" ref="I62">Common_InputFunctions.Utility_DisplayArrayInTable(Scope3_SourceData.Scope3_Livestock_Data(), Table_SourceData_Scope3_Animals[[#Headers],[Category]], 0, 2)</f>
        <v>at market</v>
      </c>
      <c r="J62" s="19" t="s">
        <v>1169</v>
      </c>
    </row>
    <row r="63" spans="1:13" ht="20.100000000000001" customHeight="1" x14ac:dyDescent="0.2">
      <c r="D63" s="19" t="str" cm="1">
        <f t="array" ref="D63">Common_InputFunctions.Utility_DisplayArrayInTable(Scope3_SourceData.Scope3_Livestock_Data(), Table_SourceData_Scope3_Animals[[#Headers],[Category]], 0, 2)</f>
        <v>Sheep</v>
      </c>
      <c r="E63" s="19" t="str" cm="1">
        <f t="array" ref="E63">Common_InputFunctions.Utility_DisplayArrayInTable(Scope3_SourceData.Scope3_Livestock_Data(), Table_SourceData_Scope3_Animals[[#Headers],[Category]], 0, 2)</f>
        <v>Sheep, for mutton</v>
      </c>
      <c r="F63" s="19" t="str" cm="1">
        <f t="array" ref="F63">Common_InputFunctions.Utility_DisplayArrayInTable(Scope3_SourceData.Scope3_Livestock_Data(), Table_SourceData_Scope3_Animals[[#Headers],[Category]], 0, 2)</f>
        <v>QLD</v>
      </c>
      <c r="G63" s="19" t="str" cm="1">
        <f t="array" ref="G63">Common_InputFunctions.Utility_DisplayArrayInTable(Scope3_SourceData.Scope3_Livestock_Data(), Table_SourceData_Scope3_Animals[[#Headers],[Category]], 0, 2)</f>
        <v>kg liveweight</v>
      </c>
      <c r="H63" s="19" cm="1">
        <f t="array" ref="H63">Common_InputFunctions.Utility_DisplayArrayInTable(Scope3_SourceData.Scope3_Livestock_Data(), Table_SourceData_Scope3_Animals[[#Headers],[Category]], 0, 2)</f>
        <v>6.33</v>
      </c>
      <c r="I63" s="19" t="str" cm="1">
        <f t="array" ref="I63">Common_InputFunctions.Utility_DisplayArrayInTable(Scope3_SourceData.Scope3_Livestock_Data(), Table_SourceData_Scope3_Animals[[#Headers],[Category]], 0, 2)</f>
        <v>at market</v>
      </c>
      <c r="J63" s="19" t="s">
        <v>1169</v>
      </c>
    </row>
    <row r="64" spans="1:13" ht="20.100000000000001" customHeight="1" x14ac:dyDescent="0.2">
      <c r="D64" s="19" t="str" cm="1">
        <f t="array" ref="D64">Common_InputFunctions.Utility_DisplayArrayInTable(Scope3_SourceData.Scope3_Livestock_Data(), Table_SourceData_Scope3_Animals[[#Headers],[Category]], 0, 2)</f>
        <v>Sheep</v>
      </c>
      <c r="E64" s="19" t="str" cm="1">
        <f t="array" ref="E64">Common_InputFunctions.Utility_DisplayArrayInTable(Scope3_SourceData.Scope3_Livestock_Data(), Table_SourceData_Scope3_Animals[[#Headers],[Category]], 0, 2)</f>
        <v>Sheep, for mutton</v>
      </c>
      <c r="F64" s="19" t="str" cm="1">
        <f t="array" ref="F64">Common_InputFunctions.Utility_DisplayArrayInTable(Scope3_SourceData.Scope3_Livestock_Data(), Table_SourceData_Scope3_Animals[[#Headers],[Category]], 0, 2)</f>
        <v>SA</v>
      </c>
      <c r="G64" s="19" t="str" cm="1">
        <f t="array" ref="G64">Common_InputFunctions.Utility_DisplayArrayInTable(Scope3_SourceData.Scope3_Livestock_Data(), Table_SourceData_Scope3_Animals[[#Headers],[Category]], 0, 2)</f>
        <v>kg liveweight</v>
      </c>
      <c r="H64" s="19" cm="1">
        <f t="array" ref="H64">Common_InputFunctions.Utility_DisplayArrayInTable(Scope3_SourceData.Scope3_Livestock_Data(), Table_SourceData_Scope3_Animals[[#Headers],[Category]], 0, 2)</f>
        <v>6.18</v>
      </c>
      <c r="I64" s="19" t="str" cm="1">
        <f t="array" ref="I64">Common_InputFunctions.Utility_DisplayArrayInTable(Scope3_SourceData.Scope3_Livestock_Data(), Table_SourceData_Scope3_Animals[[#Headers],[Category]], 0, 2)</f>
        <v>at market</v>
      </c>
      <c r="J64" s="19" t="s">
        <v>1169</v>
      </c>
    </row>
    <row r="65" spans="1:10" ht="20.100000000000001" customHeight="1" x14ac:dyDescent="0.2">
      <c r="D65" s="19" t="str" cm="1">
        <f t="array" ref="D65">Common_InputFunctions.Utility_DisplayArrayInTable(Scope3_SourceData.Scope3_Livestock_Data(), Table_SourceData_Scope3_Animals[[#Headers],[Category]], 0, 2)</f>
        <v>Sheep</v>
      </c>
      <c r="E65" s="19" t="str" cm="1">
        <f t="array" ref="E65">Common_InputFunctions.Utility_DisplayArrayInTable(Scope3_SourceData.Scope3_Livestock_Data(), Table_SourceData_Scope3_Animals[[#Headers],[Category]], 0, 2)</f>
        <v>Sheep, for mutton</v>
      </c>
      <c r="F65" s="19" t="str" cm="1">
        <f t="array" ref="F65">Common_InputFunctions.Utility_DisplayArrayInTable(Scope3_SourceData.Scope3_Livestock_Data(), Table_SourceData_Scope3_Animals[[#Headers],[Category]], 0, 2)</f>
        <v>TAS</v>
      </c>
      <c r="G65" s="19" t="str" cm="1">
        <f t="array" ref="G65">Common_InputFunctions.Utility_DisplayArrayInTable(Scope3_SourceData.Scope3_Livestock_Data(), Table_SourceData_Scope3_Animals[[#Headers],[Category]], 0, 2)</f>
        <v>kg liveweight</v>
      </c>
      <c r="H65" s="19" cm="1">
        <f t="array" ref="H65">Common_InputFunctions.Utility_DisplayArrayInTable(Scope3_SourceData.Scope3_Livestock_Data(), Table_SourceData_Scope3_Animals[[#Headers],[Category]], 0, 2)</f>
        <v>7.5</v>
      </c>
      <c r="I65" s="19" t="str" cm="1">
        <f t="array" ref="I65">Common_InputFunctions.Utility_DisplayArrayInTable(Scope3_SourceData.Scope3_Livestock_Data(), Table_SourceData_Scope3_Animals[[#Headers],[Category]], 0, 2)</f>
        <v>at market</v>
      </c>
      <c r="J65" s="19" t="s">
        <v>1169</v>
      </c>
    </row>
    <row r="66" spans="1:10" ht="20.100000000000001" customHeight="1" x14ac:dyDescent="0.2">
      <c r="D66" s="19" t="str" cm="1">
        <f t="array" ref="D66">Common_InputFunctions.Utility_DisplayArrayInTable(Scope3_SourceData.Scope3_Livestock_Data(), Table_SourceData_Scope3_Animals[[#Headers],[Category]], 0, 2)</f>
        <v>Sheep</v>
      </c>
      <c r="E66" s="19" t="str" cm="1">
        <f t="array" ref="E66">Common_InputFunctions.Utility_DisplayArrayInTable(Scope3_SourceData.Scope3_Livestock_Data(), Table_SourceData_Scope3_Animals[[#Headers],[Category]], 0, 2)</f>
        <v>Sheep, for mutton</v>
      </c>
      <c r="F66" s="19" t="str" cm="1">
        <f t="array" ref="F66">Common_InputFunctions.Utility_DisplayArrayInTable(Scope3_SourceData.Scope3_Livestock_Data(), Table_SourceData_Scope3_Animals[[#Headers],[Category]], 0, 2)</f>
        <v>VIC</v>
      </c>
      <c r="G66" s="19" t="str" cm="1">
        <f t="array" ref="G66">Common_InputFunctions.Utility_DisplayArrayInTable(Scope3_SourceData.Scope3_Livestock_Data(), Table_SourceData_Scope3_Animals[[#Headers],[Category]], 0, 2)</f>
        <v>kg liveweight</v>
      </c>
      <c r="H66" s="19" cm="1">
        <f t="array" ref="H66">Common_InputFunctions.Utility_DisplayArrayInTable(Scope3_SourceData.Scope3_Livestock_Data(), Table_SourceData_Scope3_Animals[[#Headers],[Category]], 0, 2)</f>
        <v>8.08</v>
      </c>
      <c r="I66" s="19" t="str" cm="1">
        <f t="array" ref="I66">Common_InputFunctions.Utility_DisplayArrayInTable(Scope3_SourceData.Scope3_Livestock_Data(), Table_SourceData_Scope3_Animals[[#Headers],[Category]], 0, 2)</f>
        <v>at market</v>
      </c>
      <c r="J66" s="19" t="s">
        <v>1169</v>
      </c>
    </row>
    <row r="67" spans="1:10" ht="20.100000000000001" customHeight="1" x14ac:dyDescent="0.2">
      <c r="D67" s="19" t="str" cm="1">
        <f t="array" ref="D67">Common_InputFunctions.Utility_DisplayArrayInTable(Scope3_SourceData.Scope3_Livestock_Data(), Table_SourceData_Scope3_Animals[[#Headers],[Category]], 0, 2)</f>
        <v>Sheep</v>
      </c>
      <c r="E67" s="19" t="str" cm="1">
        <f t="array" ref="E67">Common_InputFunctions.Utility_DisplayArrayInTable(Scope3_SourceData.Scope3_Livestock_Data(), Table_SourceData_Scope3_Animals[[#Headers],[Category]], 0, 2)</f>
        <v>Sheep, for mutton</v>
      </c>
      <c r="F67" s="19" t="str" cm="1">
        <f t="array" ref="F67">Common_InputFunctions.Utility_DisplayArrayInTable(Scope3_SourceData.Scope3_Livestock_Data(), Table_SourceData_Scope3_Animals[[#Headers],[Category]], 0, 2)</f>
        <v>WA</v>
      </c>
      <c r="G67" s="19" t="str" cm="1">
        <f t="array" ref="G67">Common_InputFunctions.Utility_DisplayArrayInTable(Scope3_SourceData.Scope3_Livestock_Data(), Table_SourceData_Scope3_Animals[[#Headers],[Category]], 0, 2)</f>
        <v>kg liveweight</v>
      </c>
      <c r="H67" s="19" cm="1">
        <f t="array" ref="H67">Common_InputFunctions.Utility_DisplayArrayInTable(Scope3_SourceData.Scope3_Livestock_Data(), Table_SourceData_Scope3_Animals[[#Headers],[Category]], 0, 2)</f>
        <v>5.45</v>
      </c>
      <c r="I67" s="19" t="str" cm="1">
        <f t="array" ref="I67">Common_InputFunctions.Utility_DisplayArrayInTable(Scope3_SourceData.Scope3_Livestock_Data(), Table_SourceData_Scope3_Animals[[#Headers],[Category]], 0, 2)</f>
        <v>at market</v>
      </c>
      <c r="J67" s="19" t="s">
        <v>1169</v>
      </c>
    </row>
    <row r="68" spans="1:10" ht="20.100000000000001" customHeight="1" x14ac:dyDescent="0.2">
      <c r="A68" s="79" t="str">
        <f>HYPERLINK("#A1", "▲ Back to top")</f>
        <v>▲ Back to top</v>
      </c>
      <c r="D68" s="19" t="str" cm="1">
        <f t="array" ref="D68">Common_InputFunctions.Utility_DisplayArrayInTable(Scope3_SourceData.Scope3_Livestock_Data(), Table_SourceData_Scope3_Animals[[#Headers],[Category]], 0, 2)</f>
        <v>Sheep</v>
      </c>
      <c r="E68" s="19" t="str" cm="1">
        <f t="array" ref="E68">Common_InputFunctions.Utility_DisplayArrayInTable(Scope3_SourceData.Scope3_Livestock_Data(), Table_SourceData_Scope3_Animals[[#Headers],[Category]], 0, 2)</f>
        <v>Sheep, for prime lamb</v>
      </c>
      <c r="F68" s="19" t="str" cm="1">
        <f t="array" ref="F68">Common_InputFunctions.Utility_DisplayArrayInTable(Scope3_SourceData.Scope3_Livestock_Data(), Table_SourceData_Scope3_Animals[[#Headers],[Category]], 0, 2)</f>
        <v>Australia</v>
      </c>
      <c r="G68" s="19" t="str" cm="1">
        <f t="array" ref="G68">Common_InputFunctions.Utility_DisplayArrayInTable(Scope3_SourceData.Scope3_Livestock_Data(), Table_SourceData_Scope3_Animals[[#Headers],[Category]], 0, 2)</f>
        <v>kg liveweight</v>
      </c>
      <c r="H68" s="19" cm="1">
        <f t="array" ref="H68">Common_InputFunctions.Utility_DisplayArrayInTable(Scope3_SourceData.Scope3_Livestock_Data(), Table_SourceData_Scope3_Animals[[#Headers],[Category]], 0, 2)</f>
        <v>7.15</v>
      </c>
      <c r="I68" s="19" t="str" cm="1">
        <f t="array" ref="I68">Common_InputFunctions.Utility_DisplayArrayInTable(Scope3_SourceData.Scope3_Livestock_Data(), Table_SourceData_Scope3_Animals[[#Headers],[Category]], 0, 2)</f>
        <v>at market</v>
      </c>
      <c r="J68" s="19" t="s">
        <v>1169</v>
      </c>
    </row>
    <row r="69" spans="1:10" ht="20.100000000000001" customHeight="1" x14ac:dyDescent="0.2">
      <c r="D69" s="19" t="str" cm="1">
        <f t="array" ref="D69">Common_InputFunctions.Utility_DisplayArrayInTable(Scope3_SourceData.Scope3_Livestock_Data(), Table_SourceData_Scope3_Animals[[#Headers],[Category]], 0, 2)</f>
        <v>Sheep</v>
      </c>
      <c r="E69" s="19" t="str" cm="1">
        <f t="array" ref="E69">Common_InputFunctions.Utility_DisplayArrayInTable(Scope3_SourceData.Scope3_Livestock_Data(), Table_SourceData_Scope3_Animals[[#Headers],[Category]], 0, 2)</f>
        <v>Sheep, for prime lamb</v>
      </c>
      <c r="F69" s="19" t="str" cm="1">
        <f t="array" ref="F69">Common_InputFunctions.Utility_DisplayArrayInTable(Scope3_SourceData.Scope3_Livestock_Data(), Table_SourceData_Scope3_Animals[[#Headers],[Category]], 0, 2)</f>
        <v>NSW</v>
      </c>
      <c r="G69" s="19" t="str" cm="1">
        <f t="array" ref="G69">Common_InputFunctions.Utility_DisplayArrayInTable(Scope3_SourceData.Scope3_Livestock_Data(), Table_SourceData_Scope3_Animals[[#Headers],[Category]], 0, 2)</f>
        <v>kg liveweight</v>
      </c>
      <c r="H69" s="19" cm="1">
        <f t="array" ref="H69">Common_InputFunctions.Utility_DisplayArrayInTable(Scope3_SourceData.Scope3_Livestock_Data(), Table_SourceData_Scope3_Animals[[#Headers],[Category]], 0, 2)</f>
        <v>8.2899999999999991</v>
      </c>
      <c r="I69" s="19" t="str" cm="1">
        <f t="array" ref="I69">Common_InputFunctions.Utility_DisplayArrayInTable(Scope3_SourceData.Scope3_Livestock_Data(), Table_SourceData_Scope3_Animals[[#Headers],[Category]], 0, 2)</f>
        <v>at market</v>
      </c>
      <c r="J69" s="19" t="s">
        <v>1169</v>
      </c>
    </row>
    <row r="70" spans="1:10" ht="20.100000000000001" customHeight="1" x14ac:dyDescent="0.2">
      <c r="D70" s="19" t="str" cm="1">
        <f t="array" ref="D70">Common_InputFunctions.Utility_DisplayArrayInTable(Scope3_SourceData.Scope3_Livestock_Data(), Table_SourceData_Scope3_Animals[[#Headers],[Category]], 0, 2)</f>
        <v>Sheep</v>
      </c>
      <c r="E70" s="19" t="str" cm="1">
        <f t="array" ref="E70">Common_InputFunctions.Utility_DisplayArrayInTable(Scope3_SourceData.Scope3_Livestock_Data(), Table_SourceData_Scope3_Animals[[#Headers],[Category]], 0, 2)</f>
        <v>Sheep, for prime lamb</v>
      </c>
      <c r="F70" s="19" t="str" cm="1">
        <f t="array" ref="F70">Common_InputFunctions.Utility_DisplayArrayInTable(Scope3_SourceData.Scope3_Livestock_Data(), Table_SourceData_Scope3_Animals[[#Headers],[Category]], 0, 2)</f>
        <v>QLD</v>
      </c>
      <c r="G70" s="19" t="str" cm="1">
        <f t="array" ref="G70">Common_InputFunctions.Utility_DisplayArrayInTable(Scope3_SourceData.Scope3_Livestock_Data(), Table_SourceData_Scope3_Animals[[#Headers],[Category]], 0, 2)</f>
        <v>kg liveweight</v>
      </c>
      <c r="H70" s="19" cm="1">
        <f t="array" ref="H70">Common_InputFunctions.Utility_DisplayArrayInTable(Scope3_SourceData.Scope3_Livestock_Data(), Table_SourceData_Scope3_Animals[[#Headers],[Category]], 0, 2)</f>
        <v>6.39</v>
      </c>
      <c r="I70" s="19" t="str" cm="1">
        <f t="array" ref="I70">Common_InputFunctions.Utility_DisplayArrayInTable(Scope3_SourceData.Scope3_Livestock_Data(), Table_SourceData_Scope3_Animals[[#Headers],[Category]], 0, 2)</f>
        <v>at market</v>
      </c>
      <c r="J70" s="19" t="s">
        <v>1169</v>
      </c>
    </row>
    <row r="71" spans="1:10" ht="20.100000000000001" customHeight="1" x14ac:dyDescent="0.2">
      <c r="D71" s="19" t="str" cm="1">
        <f t="array" ref="D71">Common_InputFunctions.Utility_DisplayArrayInTable(Scope3_SourceData.Scope3_Livestock_Data(), Table_SourceData_Scope3_Animals[[#Headers],[Category]], 0, 2)</f>
        <v>Sheep</v>
      </c>
      <c r="E71" s="19" t="str" cm="1">
        <f t="array" ref="E71">Common_InputFunctions.Utility_DisplayArrayInTable(Scope3_SourceData.Scope3_Livestock_Data(), Table_SourceData_Scope3_Animals[[#Headers],[Category]], 0, 2)</f>
        <v>Sheep, for prime lamb</v>
      </c>
      <c r="F71" s="19" t="str" cm="1">
        <f t="array" ref="F71">Common_InputFunctions.Utility_DisplayArrayInTable(Scope3_SourceData.Scope3_Livestock_Data(), Table_SourceData_Scope3_Animals[[#Headers],[Category]], 0, 2)</f>
        <v>SA</v>
      </c>
      <c r="G71" s="19" t="str" cm="1">
        <f t="array" ref="G71">Common_InputFunctions.Utility_DisplayArrayInTable(Scope3_SourceData.Scope3_Livestock_Data(), Table_SourceData_Scope3_Animals[[#Headers],[Category]], 0, 2)</f>
        <v>kg liveweight</v>
      </c>
      <c r="H71" s="19" cm="1">
        <f t="array" ref="H71">Common_InputFunctions.Utility_DisplayArrayInTable(Scope3_SourceData.Scope3_Livestock_Data(), Table_SourceData_Scope3_Animals[[#Headers],[Category]], 0, 2)</f>
        <v>6.87</v>
      </c>
      <c r="I71" s="19" t="str" cm="1">
        <f t="array" ref="I71">Common_InputFunctions.Utility_DisplayArrayInTable(Scope3_SourceData.Scope3_Livestock_Data(), Table_SourceData_Scope3_Animals[[#Headers],[Category]], 0, 2)</f>
        <v>at market</v>
      </c>
      <c r="J71" s="19" t="s">
        <v>1169</v>
      </c>
    </row>
    <row r="72" spans="1:10" ht="20.100000000000001" customHeight="1" x14ac:dyDescent="0.2">
      <c r="D72" s="19" t="str" cm="1">
        <f t="array" ref="D72">Common_InputFunctions.Utility_DisplayArrayInTable(Scope3_SourceData.Scope3_Livestock_Data(), Table_SourceData_Scope3_Animals[[#Headers],[Category]], 0, 2)</f>
        <v>Sheep</v>
      </c>
      <c r="E72" s="19" t="str" cm="1">
        <f t="array" ref="E72">Common_InputFunctions.Utility_DisplayArrayInTable(Scope3_SourceData.Scope3_Livestock_Data(), Table_SourceData_Scope3_Animals[[#Headers],[Category]], 0, 2)</f>
        <v>Sheep, for prime lamb</v>
      </c>
      <c r="F72" s="19" t="str" cm="1">
        <f t="array" ref="F72">Common_InputFunctions.Utility_DisplayArrayInTable(Scope3_SourceData.Scope3_Livestock_Data(), Table_SourceData_Scope3_Animals[[#Headers],[Category]], 0, 2)</f>
        <v>TAS</v>
      </c>
      <c r="G72" s="19" t="str" cm="1">
        <f t="array" ref="G72">Common_InputFunctions.Utility_DisplayArrayInTable(Scope3_SourceData.Scope3_Livestock_Data(), Table_SourceData_Scope3_Animals[[#Headers],[Category]], 0, 2)</f>
        <v>kg liveweight</v>
      </c>
      <c r="H72" s="19" cm="1">
        <f t="array" ref="H72">Common_InputFunctions.Utility_DisplayArrayInTable(Scope3_SourceData.Scope3_Livestock_Data(), Table_SourceData_Scope3_Animals[[#Headers],[Category]], 0, 2)</f>
        <v>8.66</v>
      </c>
      <c r="I72" s="19" t="str" cm="1">
        <f t="array" ref="I72">Common_InputFunctions.Utility_DisplayArrayInTable(Scope3_SourceData.Scope3_Livestock_Data(), Table_SourceData_Scope3_Animals[[#Headers],[Category]], 0, 2)</f>
        <v>at market</v>
      </c>
      <c r="J72" s="19" t="s">
        <v>1169</v>
      </c>
    </row>
    <row r="73" spans="1:10" ht="20.100000000000001" customHeight="1" x14ac:dyDescent="0.2">
      <c r="D73" s="19" t="str" cm="1">
        <f t="array" ref="D73">Common_InputFunctions.Utility_DisplayArrayInTable(Scope3_SourceData.Scope3_Livestock_Data(), Table_SourceData_Scope3_Animals[[#Headers],[Category]], 0, 2)</f>
        <v>Sheep</v>
      </c>
      <c r="E73" s="19" t="str" cm="1">
        <f t="array" ref="E73">Common_InputFunctions.Utility_DisplayArrayInTable(Scope3_SourceData.Scope3_Livestock_Data(), Table_SourceData_Scope3_Animals[[#Headers],[Category]], 0, 2)</f>
        <v>Sheep, for prime lamb</v>
      </c>
      <c r="F73" s="19" t="str" cm="1">
        <f t="array" ref="F73">Common_InputFunctions.Utility_DisplayArrayInTable(Scope3_SourceData.Scope3_Livestock_Data(), Table_SourceData_Scope3_Animals[[#Headers],[Category]], 0, 2)</f>
        <v>VIC</v>
      </c>
      <c r="G73" s="19" t="str" cm="1">
        <f t="array" ref="G73">Common_InputFunctions.Utility_DisplayArrayInTable(Scope3_SourceData.Scope3_Livestock_Data(), Table_SourceData_Scope3_Animals[[#Headers],[Category]], 0, 2)</f>
        <v>kg liveweight</v>
      </c>
      <c r="H73" s="19" cm="1">
        <f t="array" ref="H73">Common_InputFunctions.Utility_DisplayArrayInTable(Scope3_SourceData.Scope3_Livestock_Data(), Table_SourceData_Scope3_Animals[[#Headers],[Category]], 0, 2)</f>
        <v>10</v>
      </c>
      <c r="I73" s="19" t="str" cm="1">
        <f t="array" ref="I73">Common_InputFunctions.Utility_DisplayArrayInTable(Scope3_SourceData.Scope3_Livestock_Data(), Table_SourceData_Scope3_Animals[[#Headers],[Category]], 0, 2)</f>
        <v>at market</v>
      </c>
      <c r="J73" s="19" t="s">
        <v>1169</v>
      </c>
    </row>
    <row r="74" spans="1:10" ht="20.100000000000001" customHeight="1" x14ac:dyDescent="0.2">
      <c r="D74" s="19" t="str" cm="1">
        <f t="array" ref="D74">Common_InputFunctions.Utility_DisplayArrayInTable(Scope3_SourceData.Scope3_Livestock_Data(), Table_SourceData_Scope3_Animals[[#Headers],[Category]], 0, 2)</f>
        <v>Sheep</v>
      </c>
      <c r="E74" s="19" t="str" cm="1">
        <f t="array" ref="E74">Common_InputFunctions.Utility_DisplayArrayInTable(Scope3_SourceData.Scope3_Livestock_Data(), Table_SourceData_Scope3_Animals[[#Headers],[Category]], 0, 2)</f>
        <v>Sheep, for prime lamb</v>
      </c>
      <c r="F74" s="19" t="str" cm="1">
        <f t="array" ref="F74">Common_InputFunctions.Utility_DisplayArrayInTable(Scope3_SourceData.Scope3_Livestock_Data(), Table_SourceData_Scope3_Animals[[#Headers],[Category]], 0, 2)</f>
        <v>WA</v>
      </c>
      <c r="G74" s="19" t="str" cm="1">
        <f t="array" ref="G74">Common_InputFunctions.Utility_DisplayArrayInTable(Scope3_SourceData.Scope3_Livestock_Data(), Table_SourceData_Scope3_Animals[[#Headers],[Category]], 0, 2)</f>
        <v>kg liveweight</v>
      </c>
      <c r="H74" s="19" cm="1">
        <f t="array" ref="H74">Common_InputFunctions.Utility_DisplayArrayInTable(Scope3_SourceData.Scope3_Livestock_Data(), Table_SourceData_Scope3_Animals[[#Headers],[Category]], 0, 2)</f>
        <v>5.67</v>
      </c>
      <c r="I74" s="19" t="str" cm="1">
        <f t="array" ref="I74">Common_InputFunctions.Utility_DisplayArrayInTable(Scope3_SourceData.Scope3_Livestock_Data(), Table_SourceData_Scope3_Animals[[#Headers],[Category]], 0, 2)</f>
        <v>at market</v>
      </c>
      <c r="J74" s="19" t="s">
        <v>1169</v>
      </c>
    </row>
    <row r="76" spans="1:10" ht="20.100000000000001" customHeight="1" x14ac:dyDescent="0.2">
      <c r="D76" s="2" t="s">
        <v>1180</v>
      </c>
    </row>
    <row r="77" spans="1:10" ht="20.100000000000001" customHeight="1" x14ac:dyDescent="0.2">
      <c r="D77" s="19" t="s">
        <v>1162</v>
      </c>
      <c r="E77" s="19" t="s">
        <v>132</v>
      </c>
      <c r="F77" s="19" t="s">
        <v>1163</v>
      </c>
      <c r="G77" s="19" t="s">
        <v>1164</v>
      </c>
      <c r="H77" s="19" t="s">
        <v>1165</v>
      </c>
      <c r="I77" s="19" t="s">
        <v>1166</v>
      </c>
      <c r="J77" s="19" t="s">
        <v>570</v>
      </c>
    </row>
    <row r="78" spans="1:10" ht="20.100000000000001" customHeight="1" x14ac:dyDescent="0.2">
      <c r="D78" s="19" t="str" cm="1">
        <f t="array" ref="D78">Common_InputFunctions.Utility_DisplayArrayInTable(Scope3_SourceData.Scope3_Chemicals_Data(), Table_SourceData_Scope3_ChemicalsCleaning[[#Headers],[Category]], 0, 2)</f>
        <v>Cleaning chemicals</v>
      </c>
      <c r="E78" s="19" t="str" cm="1">
        <f t="array" ref="E78">Common_InputFunctions.Utility_DisplayArrayInTable(Scope3_SourceData.Scope3_Chemicals_Data(), Table_SourceData_Scope3_ChemicalsCleaning[[#Headers],[Category]], 0, 2)</f>
        <v>Alkaline cleaner</v>
      </c>
      <c r="F78" s="19" t="str" cm="1">
        <f t="array" ref="F78">Common_InputFunctions.Utility_DisplayArrayInTable(Scope3_SourceData.Scope3_Chemicals_Data(), Table_SourceData_Scope3_ChemicalsCleaning[[#Headers],[Category]], 0, 2)</f>
        <v>Global</v>
      </c>
      <c r="G78" s="19" t="str" cm="1">
        <f t="array" ref="G78">Common_InputFunctions.Utility_DisplayArrayInTable(Scope3_SourceData.Scope3_Chemicals_Data(), Table_SourceData_Scope3_ChemicalsCleaning[[#Headers],[Category]], 0, 2)</f>
        <v>kg</v>
      </c>
      <c r="H78" s="19" cm="1">
        <f t="array" ref="H78">Common_InputFunctions.Utility_DisplayArrayInTable(Scope3_SourceData.Scope3_Chemicals_Data(), Table_SourceData_Scope3_ChemicalsCleaning[[#Headers],[Category]], 0, 2)</f>
        <v>0.72199999999999998</v>
      </c>
      <c r="I78" s="19" t="str" cm="1">
        <f t="array" ref="I78">Common_InputFunctions.Utility_DisplayArrayInTable(Scope3_SourceData.Scope3_Chemicals_Data(), Table_SourceData_Scope3_ChemicalsCleaning[[#Headers],[Category]], 0, 2)</f>
        <v>at manufacturer</v>
      </c>
      <c r="J78" s="19" t="s">
        <v>1169</v>
      </c>
    </row>
    <row r="79" spans="1:10" ht="20.100000000000001" customHeight="1" x14ac:dyDescent="0.2">
      <c r="D79" s="19" t="str" cm="1">
        <f t="array" ref="D79">Common_InputFunctions.Utility_DisplayArrayInTable(Scope3_SourceData.Scope3_Chemicals_Data(), Table_SourceData_Scope3_ChemicalsCleaning[[#Headers],[Category]], 0, 2)</f>
        <v>Cleaning chemicals</v>
      </c>
      <c r="E79" s="19" t="str" cm="1">
        <f t="array" ref="E79">Common_InputFunctions.Utility_DisplayArrayInTable(Scope3_SourceData.Scope3_Chemicals_Data(), Table_SourceData_Scope3_ChemicalsCleaning[[#Headers],[Category]], 0, 2)</f>
        <v>Bleach</v>
      </c>
      <c r="F79" s="19" t="str" cm="1">
        <f t="array" ref="F79">Common_InputFunctions.Utility_DisplayArrayInTable(Scope3_SourceData.Scope3_Chemicals_Data(), Table_SourceData_Scope3_ChemicalsCleaning[[#Headers],[Category]], 0, 2)</f>
        <v>Global</v>
      </c>
      <c r="G79" s="19" t="str" cm="1">
        <f t="array" ref="G79">Common_InputFunctions.Utility_DisplayArrayInTable(Scope3_SourceData.Scope3_Chemicals_Data(), Table_SourceData_Scope3_ChemicalsCleaning[[#Headers],[Category]], 0, 2)</f>
        <v>kg</v>
      </c>
      <c r="H79" s="19" cm="1">
        <f t="array" ref="H79">Common_InputFunctions.Utility_DisplayArrayInTable(Scope3_SourceData.Scope3_Chemicals_Data(), Table_SourceData_Scope3_ChemicalsCleaning[[#Headers],[Category]], 0, 2)</f>
        <v>0.80400000000000005</v>
      </c>
      <c r="I79" s="19" t="str" cm="1">
        <f t="array" ref="I79">Common_InputFunctions.Utility_DisplayArrayInTable(Scope3_SourceData.Scope3_Chemicals_Data(), Table_SourceData_Scope3_ChemicalsCleaning[[#Headers],[Category]], 0, 2)</f>
        <v>at manufacturer</v>
      </c>
      <c r="J79" s="19" t="s">
        <v>1169</v>
      </c>
    </row>
    <row r="80" spans="1:10" ht="20.100000000000001" customHeight="1" x14ac:dyDescent="0.2">
      <c r="D80" s="19" t="str" cm="1">
        <f t="array" ref="D80">Common_InputFunctions.Utility_DisplayArrayInTable(Scope3_SourceData.Scope3_Chemicals_Data(), Table_SourceData_Scope3_ChemicalsCleaning[[#Headers],[Category]], 0, 2)</f>
        <v>Cleaning chemicals</v>
      </c>
      <c r="E80" s="19" t="str" cm="1">
        <f t="array" ref="E80">Common_InputFunctions.Utility_DisplayArrayInTable(Scope3_SourceData.Scope3_Chemicals_Data(), Table_SourceData_Scope3_ChemicalsCleaning[[#Headers],[Category]], 0, 2)</f>
        <v>Phosphoric acid</v>
      </c>
      <c r="F80" s="19" t="str" cm="1">
        <f t="array" ref="F80">Common_InputFunctions.Utility_DisplayArrayInTable(Scope3_SourceData.Scope3_Chemicals_Data(), Table_SourceData_Scope3_ChemicalsCleaning[[#Headers],[Category]], 0, 2)</f>
        <v>Global</v>
      </c>
      <c r="G80" s="19" t="str" cm="1">
        <f t="array" ref="G80">Common_InputFunctions.Utility_DisplayArrayInTable(Scope3_SourceData.Scope3_Chemicals_Data(), Table_SourceData_Scope3_ChemicalsCleaning[[#Headers],[Category]], 0, 2)</f>
        <v>kg</v>
      </c>
      <c r="H80" s="19" cm="1">
        <f t="array" ref="H80">Common_InputFunctions.Utility_DisplayArrayInTable(Scope3_SourceData.Scope3_Chemicals_Data(), Table_SourceData_Scope3_ChemicalsCleaning[[#Headers],[Category]], 0, 2)</f>
        <v>0.90700000000000003</v>
      </c>
      <c r="I80" s="19" t="str" cm="1">
        <f t="array" ref="I80">Common_InputFunctions.Utility_DisplayArrayInTable(Scope3_SourceData.Scope3_Chemicals_Data(), Table_SourceData_Scope3_ChemicalsCleaning[[#Headers],[Category]], 0, 2)</f>
        <v>at manufacturer</v>
      </c>
      <c r="J80" s="19" t="s">
        <v>1169</v>
      </c>
    </row>
    <row r="82" spans="4:17" ht="20.100000000000001" customHeight="1" x14ac:dyDescent="0.2">
      <c r="D82" s="19" t="s">
        <v>1162</v>
      </c>
      <c r="E82" s="19" t="s">
        <v>132</v>
      </c>
      <c r="F82" s="19" t="s">
        <v>1163</v>
      </c>
      <c r="G82" s="19" t="s">
        <v>1164</v>
      </c>
      <c r="H82" s="19" t="s">
        <v>1165</v>
      </c>
      <c r="I82" s="19" t="s">
        <v>1166</v>
      </c>
      <c r="J82" s="19" t="s">
        <v>570</v>
      </c>
    </row>
    <row r="83" spans="4:17" ht="20.100000000000001" customHeight="1" x14ac:dyDescent="0.2">
      <c r="D83" s="19" t="str" cm="1">
        <f t="array" ref="D83">Common_InputFunctions.Utility_DisplayArrayInTable(Scope3_SourceData.Scope3_Chemicals_Data(), Table_SourceData_Scope3_ChemicalsPharmacy[[#Headers],[Category]], -3, 2)</f>
        <v>Pharmacy chemicals</v>
      </c>
      <c r="E83" s="19" t="str" cm="1">
        <f t="array" ref="E83">Common_InputFunctions.Utility_DisplayArrayInTable(Scope3_SourceData.Scope3_Chemicals_Data(), Table_SourceData_Scope3_ChemicalsPharmacy[[#Headers],[Category]], -3, 2)</f>
        <v>Parasite control for cattle (external), dipping</v>
      </c>
      <c r="F83" s="19" t="str" cm="1">
        <f t="array" ref="F83">Common_InputFunctions.Utility_DisplayArrayInTable(Scope3_SourceData.Scope3_Chemicals_Data(), Table_SourceData_Scope3_ChemicalsPharmacy[[#Headers],[Category]], -3, 2)</f>
        <v>Global</v>
      </c>
      <c r="G83" s="19" t="str" cm="1">
        <f t="array" ref="G83">Common_InputFunctions.Utility_DisplayArrayInTable(Scope3_SourceData.Scope3_Chemicals_Data(), Table_SourceData_Scope3_ChemicalsPharmacy[[#Headers],[Category]], -3, 2)</f>
        <v>p (head)</v>
      </c>
      <c r="H83" s="19" cm="1">
        <f t="array" ref="H83">Common_InputFunctions.Utility_DisplayArrayInTable(Scope3_SourceData.Scope3_Chemicals_Data(), Table_SourceData_Scope3_ChemicalsPharmacy[[#Headers],[Category]], -3, 2)</f>
        <v>5.4699999999999999E-2</v>
      </c>
      <c r="I83" s="19" t="str" cm="1">
        <f t="array" ref="I83">Common_InputFunctions.Utility_DisplayArrayInTable(Scope3_SourceData.Scope3_Chemicals_Data(), Table_SourceData_Scope3_ChemicalsPharmacy[[#Headers],[Category]], -3, 2)</f>
        <v>at manufacturer</v>
      </c>
      <c r="J83" s="19" t="s">
        <v>1169</v>
      </c>
    </row>
    <row r="84" spans="4:17" ht="20.100000000000001" customHeight="1" x14ac:dyDescent="0.2">
      <c r="D84" s="19" t="str" cm="1">
        <f t="array" ref="D84">Common_InputFunctions.Utility_DisplayArrayInTable(Scope3_SourceData.Scope3_Chemicals_Data(), Table_SourceData_Scope3_ChemicalsPharmacy[[#Headers],[Category]], -3, 2)</f>
        <v>Pharmacy chemicals</v>
      </c>
      <c r="E84" s="19" t="str" cm="1">
        <f t="array" ref="E84">Common_InputFunctions.Utility_DisplayArrayInTable(Scope3_SourceData.Scope3_Chemicals_Data(), Table_SourceData_Scope3_ChemicalsPharmacy[[#Headers],[Category]], -3, 2)</f>
        <v>Parasite control for cattle (internal)</v>
      </c>
      <c r="F84" s="19" t="str" cm="1">
        <f t="array" ref="F84">Common_InputFunctions.Utility_DisplayArrayInTable(Scope3_SourceData.Scope3_Chemicals_Data(), Table_SourceData_Scope3_ChemicalsPharmacy[[#Headers],[Category]], -3, 2)</f>
        <v>Global</v>
      </c>
      <c r="G84" s="19" t="str" cm="1">
        <f t="array" ref="G84">Common_InputFunctions.Utility_DisplayArrayInTable(Scope3_SourceData.Scope3_Chemicals_Data(), Table_SourceData_Scope3_ChemicalsPharmacy[[#Headers],[Category]], -3, 2)</f>
        <v>p (head)</v>
      </c>
      <c r="H84" s="19" cm="1">
        <f t="array" ref="H84">Common_InputFunctions.Utility_DisplayArrayInTable(Scope3_SourceData.Scope3_Chemicals_Data(), Table_SourceData_Scope3_ChemicalsPharmacy[[#Headers],[Category]], -3, 2)</f>
        <v>1.4200000000000001E-2</v>
      </c>
      <c r="I84" s="19" t="str" cm="1">
        <f t="array" ref="I84">Common_InputFunctions.Utility_DisplayArrayInTable(Scope3_SourceData.Scope3_Chemicals_Data(), Table_SourceData_Scope3_ChemicalsPharmacy[[#Headers],[Category]], -3, 2)</f>
        <v>at manufacturer</v>
      </c>
      <c r="J84" s="19" t="s">
        <v>1169</v>
      </c>
    </row>
    <row r="85" spans="4:17" ht="20.100000000000001" customHeight="1" x14ac:dyDescent="0.2">
      <c r="D85" s="19" t="str" cm="1">
        <f t="array" ref="D85">Common_InputFunctions.Utility_DisplayArrayInTable(Scope3_SourceData.Scope3_Chemicals_Data(), Table_SourceData_Scope3_ChemicalsPharmacy[[#Headers],[Category]], -3, 2)</f>
        <v>Pharmacy chemicals</v>
      </c>
      <c r="E85" s="19" t="str" cm="1">
        <f t="array" ref="E85">Common_InputFunctions.Utility_DisplayArrayInTable(Scope3_SourceData.Scope3_Chemicals_Data(), Table_SourceData_Scope3_ChemicalsPharmacy[[#Headers],[Category]], -3, 2)</f>
        <v>Parasite control for sheep (external)</v>
      </c>
      <c r="F85" s="19" t="str" cm="1">
        <f t="array" ref="F85">Common_InputFunctions.Utility_DisplayArrayInTable(Scope3_SourceData.Scope3_Chemicals_Data(), Table_SourceData_Scope3_ChemicalsPharmacy[[#Headers],[Category]], -3, 2)</f>
        <v>Global</v>
      </c>
      <c r="G85" s="19" t="str" cm="1">
        <f t="array" ref="G85">Common_InputFunctions.Utility_DisplayArrayInTable(Scope3_SourceData.Scope3_Chemicals_Data(), Table_SourceData_Scope3_ChemicalsPharmacy[[#Headers],[Category]], -3, 2)</f>
        <v>p (head)</v>
      </c>
      <c r="H85" s="19" cm="1">
        <f t="array" ref="H85">Common_InputFunctions.Utility_DisplayArrayInTable(Scope3_SourceData.Scope3_Chemicals_Data(), Table_SourceData_Scope3_ChemicalsPharmacy[[#Headers],[Category]], -3, 2)</f>
        <v>1.43E-2</v>
      </c>
      <c r="I85" s="19" t="str" cm="1">
        <f t="array" ref="I85">Common_InputFunctions.Utility_DisplayArrayInTable(Scope3_SourceData.Scope3_Chemicals_Data(), Table_SourceData_Scope3_ChemicalsPharmacy[[#Headers],[Category]], -3, 2)</f>
        <v>at manufacturer</v>
      </c>
      <c r="J85" s="19" t="s">
        <v>1169</v>
      </c>
    </row>
    <row r="86" spans="4:17" ht="20.100000000000001" customHeight="1" x14ac:dyDescent="0.2">
      <c r="D86" s="19" t="str" cm="1">
        <f t="array" ref="D86">Common_InputFunctions.Utility_DisplayArrayInTable(Scope3_SourceData.Scope3_Chemicals_Data(), Table_SourceData_Scope3_ChemicalsPharmacy[[#Headers],[Category]], -3, 2)</f>
        <v>Pharmacy chemicals</v>
      </c>
      <c r="E86" s="19" t="str" cm="1">
        <f t="array" ref="E86">Common_InputFunctions.Utility_DisplayArrayInTable(Scope3_SourceData.Scope3_Chemicals_Data(), Table_SourceData_Scope3_ChemicalsPharmacy[[#Headers],[Category]], -3, 2)</f>
        <v>Parasite control for sheep (internal)</v>
      </c>
      <c r="F86" s="19" t="str" cm="1">
        <f t="array" ref="F86">Common_InputFunctions.Utility_DisplayArrayInTable(Scope3_SourceData.Scope3_Chemicals_Data(), Table_SourceData_Scope3_ChemicalsPharmacy[[#Headers],[Category]], -3, 2)</f>
        <v>Global</v>
      </c>
      <c r="G86" s="19" t="str" cm="1">
        <f t="array" ref="G86">Common_InputFunctions.Utility_DisplayArrayInTable(Scope3_SourceData.Scope3_Chemicals_Data(), Table_SourceData_Scope3_ChemicalsPharmacy[[#Headers],[Category]], -3, 2)</f>
        <v>p (head)</v>
      </c>
      <c r="H86" s="19" cm="1">
        <f t="array" ref="H86">Common_InputFunctions.Utility_DisplayArrayInTable(Scope3_SourceData.Scope3_Chemicals_Data(), Table_SourceData_Scope3_ChemicalsPharmacy[[#Headers],[Category]], -3, 2)</f>
        <v>4.2599999999999999E-3</v>
      </c>
      <c r="I86" s="19" t="str" cm="1">
        <f t="array" ref="I86">Common_InputFunctions.Utility_DisplayArrayInTable(Scope3_SourceData.Scope3_Chemicals_Data(), Table_SourceData_Scope3_ChemicalsPharmacy[[#Headers],[Category]], -3, 2)</f>
        <v>at manufacturer</v>
      </c>
      <c r="J86" s="19" t="s">
        <v>1169</v>
      </c>
    </row>
    <row r="88" spans="4:17" ht="20.100000000000001" customHeight="1" x14ac:dyDescent="0.2">
      <c r="D88" s="2" t="s">
        <v>975</v>
      </c>
    </row>
    <row r="89" spans="4:17" ht="20.100000000000001" customHeight="1" x14ac:dyDescent="0.2">
      <c r="D89" s="19" t="s">
        <v>1162</v>
      </c>
      <c r="E89" s="19" t="s">
        <v>132</v>
      </c>
      <c r="F89" s="19" t="s">
        <v>1163</v>
      </c>
      <c r="G89" s="19" t="s">
        <v>1164</v>
      </c>
      <c r="H89" s="19" t="s">
        <v>1165</v>
      </c>
      <c r="I89" s="19" t="s">
        <v>1166</v>
      </c>
      <c r="J89" s="19" t="s">
        <v>570</v>
      </c>
      <c r="O89" s="19" t="s">
        <v>132</v>
      </c>
      <c r="P89" s="19" t="s">
        <v>1167</v>
      </c>
      <c r="Q89" s="1" t="str">
        <f>"Table_ProductRegions_" &amp; SUBSTITUTE(SUBSTITUTE(SUBSTITUTE(SUBSTITUTE(O90, " ", ""), ",", ""), "(", ""), ")", "")</f>
        <v>Table_ProductRegions_Barleygrain</v>
      </c>
    </row>
    <row r="90" spans="4:17" ht="20.100000000000001" customHeight="1" x14ac:dyDescent="0.2">
      <c r="D90" s="19" t="str" cm="1">
        <f t="array" ref="D90">Common_InputFunctions.Utility_DisplayArrayInTable(Scope3_SourceData.Scope3_Feed_Data(), Table_SourceData_Scope3_Feed[[#Headers],[Category]], -1, 2)</f>
        <v>Grain</v>
      </c>
      <c r="E90" s="19" t="str" cm="1">
        <f t="array" ref="E90">Common_InputFunctions.Utility_DisplayArrayInTable(Scope3_SourceData.Scope3_Feed_Data(), Table_SourceData_Scope3_Feed[[#Headers],[Category]], -1, 2)</f>
        <v>Barley grain</v>
      </c>
      <c r="F90" s="19" t="str" cm="1">
        <f t="array" ref="F90">Common_InputFunctions.Utility_DisplayArrayInTable(Scope3_SourceData.Scope3_Feed_Data(), Table_SourceData_Scope3_Feed[[#Headers],[Category]], -1, 2)</f>
        <v>Australia</v>
      </c>
      <c r="G90" s="19" t="str" cm="1">
        <f t="array" ref="G90">Common_InputFunctions.Utility_DisplayArrayInTable(Scope3_SourceData.Scope3_Feed_Data(), Table_SourceData_Scope3_Feed[[#Headers],[Category]], -1, 2)</f>
        <v>kg</v>
      </c>
      <c r="H90" s="19" cm="1">
        <f t="array" ref="H90">Common_InputFunctions.Utility_DisplayArrayInTable(Scope3_SourceData.Scope3_Feed_Data(), Table_SourceData_Scope3_Feed[[#Headers],[Category]], -1, 2)</f>
        <v>0.23899999999999999</v>
      </c>
      <c r="I90" s="19" t="str" cm="1">
        <f t="array" ref="I90">Common_InputFunctions.Utility_DisplayArrayInTable(Scope3_SourceData.Scope3_Feed_Data(), Table_SourceData_Scope3_Feed[[#Headers],[Category]], -1, 2)</f>
        <v>at market</v>
      </c>
      <c r="J90" s="19" t="s">
        <v>1169</v>
      </c>
      <c r="O90" s="19" t="str">
        <f>Table_SourceData_Scope3_Feed[[#This Row],[Product]]</f>
        <v>Barley grain</v>
      </c>
      <c r="P90" s="19" t="str">
        <f>Table_SourceData_Scope3_Feed[[#This Row],[Region of origin]]</f>
        <v>Australia</v>
      </c>
    </row>
    <row r="91" spans="4:17" ht="20.100000000000001" customHeight="1" x14ac:dyDescent="0.2">
      <c r="D91" s="19" t="str" cm="1">
        <f t="array" ref="D91">Common_InputFunctions.Utility_DisplayArrayInTable(Scope3_SourceData.Scope3_Feed_Data(), Table_SourceData_Scope3_Feed[[#Headers],[Category]], -1, 2)</f>
        <v>Grain</v>
      </c>
      <c r="E91" s="19" t="str" cm="1">
        <f t="array" ref="E91">Common_InputFunctions.Utility_DisplayArrayInTable(Scope3_SourceData.Scope3_Feed_Data(), Table_SourceData_Scope3_Feed[[#Headers],[Category]], -1, 2)</f>
        <v>Barley grain</v>
      </c>
      <c r="F91" s="19" t="str" cm="1">
        <f t="array" ref="F91">Common_InputFunctions.Utility_DisplayArrayInTable(Scope3_SourceData.Scope3_Feed_Data(), Table_SourceData_Scope3_Feed[[#Headers],[Category]], -1, 2)</f>
        <v>NSW</v>
      </c>
      <c r="G91" s="19" t="str" cm="1">
        <f t="array" ref="G91">Common_InputFunctions.Utility_DisplayArrayInTable(Scope3_SourceData.Scope3_Feed_Data(), Table_SourceData_Scope3_Feed[[#Headers],[Category]], -1, 2)</f>
        <v>kg</v>
      </c>
      <c r="H91" s="19" cm="1">
        <f t="array" ref="H91">Common_InputFunctions.Utility_DisplayArrayInTable(Scope3_SourceData.Scope3_Feed_Data(), Table_SourceData_Scope3_Feed[[#Headers],[Category]], -1, 2)</f>
        <v>0.25600000000000001</v>
      </c>
      <c r="I91" s="19" t="str" cm="1">
        <f t="array" ref="I91">Common_InputFunctions.Utility_DisplayArrayInTable(Scope3_SourceData.Scope3_Feed_Data(), Table_SourceData_Scope3_Feed[[#Headers],[Category]], -1, 2)</f>
        <v>at market</v>
      </c>
      <c r="J91" s="19" t="s">
        <v>1169</v>
      </c>
      <c r="O91" s="19" t="str">
        <f>Table_SourceData_Scope3_Feed[[#This Row],[Product]]</f>
        <v>Barley grain</v>
      </c>
      <c r="P91" s="19" t="str">
        <f>Table_SourceData_Scope3_Feed[[#This Row],[Region of origin]]</f>
        <v>NSW</v>
      </c>
    </row>
    <row r="92" spans="4:17" ht="20.100000000000001" customHeight="1" x14ac:dyDescent="0.2">
      <c r="D92" s="19" t="str" cm="1">
        <f t="array" ref="D92">Common_InputFunctions.Utility_DisplayArrayInTable(Scope3_SourceData.Scope3_Feed_Data(), Table_SourceData_Scope3_Feed[[#Headers],[Category]], -1, 2)</f>
        <v>Grain</v>
      </c>
      <c r="E92" s="19" t="str" cm="1">
        <f t="array" ref="E92">Common_InputFunctions.Utility_DisplayArrayInTable(Scope3_SourceData.Scope3_Feed_Data(), Table_SourceData_Scope3_Feed[[#Headers],[Category]], -1, 2)</f>
        <v>Barley grain</v>
      </c>
      <c r="F92" s="19" t="str" cm="1">
        <f t="array" ref="F92">Common_InputFunctions.Utility_DisplayArrayInTable(Scope3_SourceData.Scope3_Feed_Data(), Table_SourceData_Scope3_Feed[[#Headers],[Category]], -1, 2)</f>
        <v>NT</v>
      </c>
      <c r="G92" s="19" t="str" cm="1">
        <f t="array" ref="G92">Common_InputFunctions.Utility_DisplayArrayInTable(Scope3_SourceData.Scope3_Feed_Data(), Table_SourceData_Scope3_Feed[[#Headers],[Category]], -1, 2)</f>
        <v>kg</v>
      </c>
      <c r="H92" s="19" cm="1">
        <f t="array" ref="H92">Common_InputFunctions.Utility_DisplayArrayInTable(Scope3_SourceData.Scope3_Feed_Data(), Table_SourceData_Scope3_Feed[[#Headers],[Category]], -1, 2)</f>
        <v>0.33200000000000002</v>
      </c>
      <c r="I92" s="19" t="str" cm="1">
        <f t="array" ref="I92">Common_InputFunctions.Utility_DisplayArrayInTable(Scope3_SourceData.Scope3_Feed_Data(), Table_SourceData_Scope3_Feed[[#Headers],[Category]], -1, 2)</f>
        <v>at market</v>
      </c>
      <c r="J92" s="19" t="s">
        <v>1169</v>
      </c>
      <c r="O92" s="19" t="str">
        <f>Table_SourceData_Scope3_Feed[[#This Row],[Product]]</f>
        <v>Barley grain</v>
      </c>
      <c r="P92" s="19" t="str">
        <f>Table_SourceData_Scope3_Feed[[#This Row],[Region of origin]]</f>
        <v>NT</v>
      </c>
    </row>
    <row r="93" spans="4:17" ht="20.100000000000001" customHeight="1" x14ac:dyDescent="0.2">
      <c r="D93" s="19" t="str" cm="1">
        <f t="array" ref="D93">Common_InputFunctions.Utility_DisplayArrayInTable(Scope3_SourceData.Scope3_Feed_Data(), Table_SourceData_Scope3_Feed[[#Headers],[Category]], -1, 2)</f>
        <v>Grain</v>
      </c>
      <c r="E93" s="19" t="str" cm="1">
        <f t="array" ref="E93">Common_InputFunctions.Utility_DisplayArrayInTable(Scope3_SourceData.Scope3_Feed_Data(), Table_SourceData_Scope3_Feed[[#Headers],[Category]], -1, 2)</f>
        <v>Barley grain</v>
      </c>
      <c r="F93" s="19" t="str" cm="1">
        <f t="array" ref="F93">Common_InputFunctions.Utility_DisplayArrayInTable(Scope3_SourceData.Scope3_Feed_Data(), Table_SourceData_Scope3_Feed[[#Headers],[Category]], -1, 2)</f>
        <v>QLD</v>
      </c>
      <c r="G93" s="19" t="str" cm="1">
        <f t="array" ref="G93">Common_InputFunctions.Utility_DisplayArrayInTable(Scope3_SourceData.Scope3_Feed_Data(), Table_SourceData_Scope3_Feed[[#Headers],[Category]], -1, 2)</f>
        <v>kg</v>
      </c>
      <c r="H93" s="19" cm="1">
        <f t="array" ref="H93">Common_InputFunctions.Utility_DisplayArrayInTable(Scope3_SourceData.Scope3_Feed_Data(), Table_SourceData_Scope3_Feed[[#Headers],[Category]], -1, 2)</f>
        <v>0.26900000000000002</v>
      </c>
      <c r="I93" s="19" t="str" cm="1">
        <f t="array" ref="I93">Common_InputFunctions.Utility_DisplayArrayInTable(Scope3_SourceData.Scope3_Feed_Data(), Table_SourceData_Scope3_Feed[[#Headers],[Category]], -1, 2)</f>
        <v>at market</v>
      </c>
      <c r="J93" s="19" t="s">
        <v>1169</v>
      </c>
      <c r="O93" s="19" t="str">
        <f>Table_SourceData_Scope3_Feed[[#This Row],[Product]]</f>
        <v>Barley grain</v>
      </c>
      <c r="P93" s="19" t="str">
        <f>Table_SourceData_Scope3_Feed[[#This Row],[Region of origin]]</f>
        <v>QLD</v>
      </c>
    </row>
    <row r="94" spans="4:17" ht="20.100000000000001" customHeight="1" x14ac:dyDescent="0.2">
      <c r="D94" s="19" t="str" cm="1">
        <f t="array" ref="D94">Common_InputFunctions.Utility_DisplayArrayInTable(Scope3_SourceData.Scope3_Feed_Data(), Table_SourceData_Scope3_Feed[[#Headers],[Category]], -1, 2)</f>
        <v>Grain</v>
      </c>
      <c r="E94" s="19" t="str" cm="1">
        <f t="array" ref="E94">Common_InputFunctions.Utility_DisplayArrayInTable(Scope3_SourceData.Scope3_Feed_Data(), Table_SourceData_Scope3_Feed[[#Headers],[Category]], -1, 2)</f>
        <v>Barley grain</v>
      </c>
      <c r="F94" s="19" t="str" cm="1">
        <f t="array" ref="F94">Common_InputFunctions.Utility_DisplayArrayInTable(Scope3_SourceData.Scope3_Feed_Data(), Table_SourceData_Scope3_Feed[[#Headers],[Category]], -1, 2)</f>
        <v>SA</v>
      </c>
      <c r="G94" s="19" t="str" cm="1">
        <f t="array" ref="G94">Common_InputFunctions.Utility_DisplayArrayInTable(Scope3_SourceData.Scope3_Feed_Data(), Table_SourceData_Scope3_Feed[[#Headers],[Category]], -1, 2)</f>
        <v>kg</v>
      </c>
      <c r="H94" s="19" cm="1">
        <f t="array" ref="H94">Common_InputFunctions.Utility_DisplayArrayInTable(Scope3_SourceData.Scope3_Feed_Data(), Table_SourceData_Scope3_Feed[[#Headers],[Category]], -1, 2)</f>
        <v>0.223</v>
      </c>
      <c r="I94" s="19" t="str" cm="1">
        <f t="array" ref="I94">Common_InputFunctions.Utility_DisplayArrayInTable(Scope3_SourceData.Scope3_Feed_Data(), Table_SourceData_Scope3_Feed[[#Headers],[Category]], -1, 2)</f>
        <v>at market</v>
      </c>
      <c r="J94" s="19" t="s">
        <v>1169</v>
      </c>
      <c r="O94" s="19" t="str">
        <f>Table_SourceData_Scope3_Feed[[#This Row],[Product]]</f>
        <v>Barley grain</v>
      </c>
      <c r="P94" s="19" t="str">
        <f>Table_SourceData_Scope3_Feed[[#This Row],[Region of origin]]</f>
        <v>SA</v>
      </c>
    </row>
    <row r="95" spans="4:17" ht="20.100000000000001" customHeight="1" x14ac:dyDescent="0.2">
      <c r="D95" s="19" t="str" cm="1">
        <f t="array" ref="D95">Common_InputFunctions.Utility_DisplayArrayInTable(Scope3_SourceData.Scope3_Feed_Data(), Table_SourceData_Scope3_Feed[[#Headers],[Category]], -1, 2)</f>
        <v>Grain</v>
      </c>
      <c r="E95" s="19" t="str" cm="1">
        <f t="array" ref="E95">Common_InputFunctions.Utility_DisplayArrayInTable(Scope3_SourceData.Scope3_Feed_Data(), Table_SourceData_Scope3_Feed[[#Headers],[Category]], -1, 2)</f>
        <v>Barley grain</v>
      </c>
      <c r="F95" s="19" t="str" cm="1">
        <f t="array" ref="F95">Common_InputFunctions.Utility_DisplayArrayInTable(Scope3_SourceData.Scope3_Feed_Data(), Table_SourceData_Scope3_Feed[[#Headers],[Category]], -1, 2)</f>
        <v>TAS</v>
      </c>
      <c r="G95" s="19" t="str" cm="1">
        <f t="array" ref="G95">Common_InputFunctions.Utility_DisplayArrayInTable(Scope3_SourceData.Scope3_Feed_Data(), Table_SourceData_Scope3_Feed[[#Headers],[Category]], -1, 2)</f>
        <v>kg</v>
      </c>
      <c r="H95" s="19" cm="1">
        <f t="array" ref="H95">Common_InputFunctions.Utility_DisplayArrayInTable(Scope3_SourceData.Scope3_Feed_Data(), Table_SourceData_Scope3_Feed[[#Headers],[Category]], -1, 2)</f>
        <v>0.307</v>
      </c>
      <c r="I95" s="19" t="str" cm="1">
        <f t="array" ref="I95">Common_InputFunctions.Utility_DisplayArrayInTable(Scope3_SourceData.Scope3_Feed_Data(), Table_SourceData_Scope3_Feed[[#Headers],[Category]], -1, 2)</f>
        <v>at market</v>
      </c>
      <c r="J95" s="19" t="s">
        <v>1169</v>
      </c>
      <c r="O95" s="19" t="str">
        <f>Table_SourceData_Scope3_Feed[[#This Row],[Product]]</f>
        <v>Barley grain</v>
      </c>
      <c r="P95" s="19" t="str">
        <f>Table_SourceData_Scope3_Feed[[#This Row],[Region of origin]]</f>
        <v>TAS</v>
      </c>
    </row>
    <row r="96" spans="4:17" ht="20.100000000000001" customHeight="1" x14ac:dyDescent="0.2">
      <c r="D96" s="19" t="str" cm="1">
        <f t="array" ref="D96">Common_InputFunctions.Utility_DisplayArrayInTable(Scope3_SourceData.Scope3_Feed_Data(), Table_SourceData_Scope3_Feed[[#Headers],[Category]], -1, 2)</f>
        <v>Grain</v>
      </c>
      <c r="E96" s="19" t="str" cm="1">
        <f t="array" ref="E96">Common_InputFunctions.Utility_DisplayArrayInTable(Scope3_SourceData.Scope3_Feed_Data(), Table_SourceData_Scope3_Feed[[#Headers],[Category]], -1, 2)</f>
        <v>Barley grain</v>
      </c>
      <c r="F96" s="19" t="str" cm="1">
        <f t="array" ref="F96">Common_InputFunctions.Utility_DisplayArrayInTable(Scope3_SourceData.Scope3_Feed_Data(), Table_SourceData_Scope3_Feed[[#Headers],[Category]], -1, 2)</f>
        <v>VIC</v>
      </c>
      <c r="G96" s="19" t="str" cm="1">
        <f t="array" ref="G96">Common_InputFunctions.Utility_DisplayArrayInTable(Scope3_SourceData.Scope3_Feed_Data(), Table_SourceData_Scope3_Feed[[#Headers],[Category]], -1, 2)</f>
        <v>kg</v>
      </c>
      <c r="H96" s="19" cm="1">
        <f t="array" ref="H96">Common_InputFunctions.Utility_DisplayArrayInTable(Scope3_SourceData.Scope3_Feed_Data(), Table_SourceData_Scope3_Feed[[#Headers],[Category]], -1, 2)</f>
        <v>0.24099999999999999</v>
      </c>
      <c r="I96" s="19" t="str" cm="1">
        <f t="array" ref="I96">Common_InputFunctions.Utility_DisplayArrayInTable(Scope3_SourceData.Scope3_Feed_Data(), Table_SourceData_Scope3_Feed[[#Headers],[Category]], -1, 2)</f>
        <v>at market</v>
      </c>
      <c r="J96" s="19" t="s">
        <v>1169</v>
      </c>
      <c r="O96" s="19" t="str">
        <f>Table_SourceData_Scope3_Feed[[#This Row],[Product]]</f>
        <v>Barley grain</v>
      </c>
      <c r="P96" s="19" t="str">
        <f>Table_SourceData_Scope3_Feed[[#This Row],[Region of origin]]</f>
        <v>VIC</v>
      </c>
    </row>
    <row r="97" spans="1:17" ht="20.100000000000001" customHeight="1" x14ac:dyDescent="0.2">
      <c r="D97" s="19" t="str" cm="1">
        <f t="array" ref="D97">Common_InputFunctions.Utility_DisplayArrayInTable(Scope3_SourceData.Scope3_Feed_Data(), Table_SourceData_Scope3_Feed[[#Headers],[Category]], -1, 2)</f>
        <v>Grain</v>
      </c>
      <c r="E97" s="19" t="str" cm="1">
        <f t="array" ref="E97">Common_InputFunctions.Utility_DisplayArrayInTable(Scope3_SourceData.Scope3_Feed_Data(), Table_SourceData_Scope3_Feed[[#Headers],[Category]], -1, 2)</f>
        <v>Barley grain</v>
      </c>
      <c r="F97" s="19" t="str" cm="1">
        <f t="array" ref="F97">Common_InputFunctions.Utility_DisplayArrayInTable(Scope3_SourceData.Scope3_Feed_Data(), Table_SourceData_Scope3_Feed[[#Headers],[Category]], -1, 2)</f>
        <v>WA</v>
      </c>
      <c r="G97" s="19" t="str" cm="1">
        <f t="array" ref="G97">Common_InputFunctions.Utility_DisplayArrayInTable(Scope3_SourceData.Scope3_Feed_Data(), Table_SourceData_Scope3_Feed[[#Headers],[Category]], -1, 2)</f>
        <v>kg</v>
      </c>
      <c r="H97" s="19" cm="1">
        <f t="array" ref="H97">Common_InputFunctions.Utility_DisplayArrayInTable(Scope3_SourceData.Scope3_Feed_Data(), Table_SourceData_Scope3_Feed[[#Headers],[Category]], -1, 2)</f>
        <v>0.23599999999999999</v>
      </c>
      <c r="I97" s="19" t="str" cm="1">
        <f t="array" ref="I97">Common_InputFunctions.Utility_DisplayArrayInTable(Scope3_SourceData.Scope3_Feed_Data(), Table_SourceData_Scope3_Feed[[#Headers],[Category]], -1, 2)</f>
        <v>at market</v>
      </c>
      <c r="J97" s="19" t="s">
        <v>1169</v>
      </c>
      <c r="L97" s="19" t="s">
        <v>132</v>
      </c>
      <c r="M97" s="19" t="s">
        <v>1167</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1:17" ht="20.100000000000001" customHeight="1" x14ac:dyDescent="0.2">
      <c r="A98" s="79" t="str">
        <f>HYPERLINK("#A1", "▲ Back to top")</f>
        <v>▲ Back to top</v>
      </c>
      <c r="D98" s="19" t="str" cm="1">
        <f t="array" ref="D98">Common_InputFunctions.Utility_DisplayArrayInTable(Scope3_SourceData.Scope3_Feed_Data(), Table_SourceData_Scope3_Feed[[#Headers],[Category]], -1, 2)</f>
        <v>Grain</v>
      </c>
      <c r="E98" s="19" t="str" cm="1">
        <f t="array" ref="E98">Common_InputFunctions.Utility_DisplayArrayInTable(Scope3_SourceData.Scope3_Feed_Data(), Table_SourceData_Scope3_Feed[[#Headers],[Category]], -1, 2)</f>
        <v>Maize grain</v>
      </c>
      <c r="F98" s="19" t="str" cm="1">
        <f t="array" ref="F98">Common_InputFunctions.Utility_DisplayArrayInTable(Scope3_SourceData.Scope3_Feed_Data(), Table_SourceData_Scope3_Feed[[#Headers],[Category]], -1, 2)</f>
        <v>Australia</v>
      </c>
      <c r="G98" s="19" t="str" cm="1">
        <f t="array" ref="G98">Common_InputFunctions.Utility_DisplayArrayInTable(Scope3_SourceData.Scope3_Feed_Data(), Table_SourceData_Scope3_Feed[[#Headers],[Category]], -1, 2)</f>
        <v>kg</v>
      </c>
      <c r="H98" s="19" cm="1">
        <f t="array" ref="H98">Common_InputFunctions.Utility_DisplayArrayInTable(Scope3_SourceData.Scope3_Feed_Data(), Table_SourceData_Scope3_Feed[[#Headers],[Category]], -1, 2)</f>
        <v>0.18099999999999999</v>
      </c>
      <c r="I98" s="19" t="str" cm="1">
        <f t="array" ref="I98">Common_InputFunctions.Utility_DisplayArrayInTable(Scope3_SourceData.Scope3_Feed_Data(), Table_SourceData_Scope3_Feed[[#Headers],[Category]], -1, 2)</f>
        <v>at market</v>
      </c>
      <c r="J98" s="19" t="s">
        <v>1169</v>
      </c>
      <c r="L98" s="19" t="str">
        <f>Table_SourceData_Scope3_Feed[[#This Row],[Product]]</f>
        <v>Maize grain</v>
      </c>
      <c r="M98" s="19" t="str">
        <f>Table_SourceData_Scope3_Feed[[#This Row],[Region of origin]]</f>
        <v>Australia</v>
      </c>
    </row>
    <row r="99" spans="1:17" ht="20.100000000000001" customHeight="1" x14ac:dyDescent="0.2">
      <c r="D99" s="19" t="str" cm="1">
        <f t="array" ref="D99">Common_InputFunctions.Utility_DisplayArrayInTable(Scope3_SourceData.Scope3_Feed_Data(), Table_SourceData_Scope3_Feed[[#Headers],[Category]], -1, 2)</f>
        <v>Grain</v>
      </c>
      <c r="E99" s="19" t="str" cm="1">
        <f t="array" ref="E99">Common_InputFunctions.Utility_DisplayArrayInTable(Scope3_SourceData.Scope3_Feed_Data(), Table_SourceData_Scope3_Feed[[#Headers],[Category]], -1, 2)</f>
        <v>Maize grain</v>
      </c>
      <c r="F99" s="19" t="str" cm="1">
        <f t="array" ref="F99">Common_InputFunctions.Utility_DisplayArrayInTable(Scope3_SourceData.Scope3_Feed_Data(), Table_SourceData_Scope3_Feed[[#Headers],[Category]], -1, 2)</f>
        <v>NSW</v>
      </c>
      <c r="G99" s="19" t="str" cm="1">
        <f t="array" ref="G99">Common_InputFunctions.Utility_DisplayArrayInTable(Scope3_SourceData.Scope3_Feed_Data(), Table_SourceData_Scope3_Feed[[#Headers],[Category]], -1, 2)</f>
        <v>kg</v>
      </c>
      <c r="H99" s="19" cm="1">
        <f t="array" ref="H99">Common_InputFunctions.Utility_DisplayArrayInTable(Scope3_SourceData.Scope3_Feed_Data(), Table_SourceData_Scope3_Feed[[#Headers],[Category]], -1, 2)</f>
        <v>0.16900000000000001</v>
      </c>
      <c r="I99" s="19" t="str" cm="1">
        <f t="array" ref="I99">Common_InputFunctions.Utility_DisplayArrayInTable(Scope3_SourceData.Scope3_Feed_Data(), Table_SourceData_Scope3_Feed[[#Headers],[Category]], -1, 2)</f>
        <v>at market</v>
      </c>
      <c r="J99" s="19" t="s">
        <v>1169</v>
      </c>
      <c r="L99" s="19" t="str">
        <f>Table_SourceData_Scope3_Feed[[#This Row],[Product]]</f>
        <v>Maize grain</v>
      </c>
      <c r="M99" s="19" t="str">
        <f>Table_SourceData_Scope3_Feed[[#This Row],[Region of origin]]</f>
        <v>NSW</v>
      </c>
    </row>
    <row r="100" spans="1:17" ht="20.100000000000001" customHeight="1" x14ac:dyDescent="0.2">
      <c r="D100" s="19" t="str" cm="1">
        <f t="array" ref="D100">Common_InputFunctions.Utility_DisplayArrayInTable(Scope3_SourceData.Scope3_Feed_Data(), Table_SourceData_Scope3_Feed[[#Headers],[Category]], -1, 2)</f>
        <v>Grain</v>
      </c>
      <c r="E100" s="19" t="str" cm="1">
        <f t="array" ref="E100">Common_InputFunctions.Utility_DisplayArrayInTable(Scope3_SourceData.Scope3_Feed_Data(), Table_SourceData_Scope3_Feed[[#Headers],[Category]], -1, 2)</f>
        <v>Maize grain</v>
      </c>
      <c r="F100" s="19" t="str" cm="1">
        <f t="array" ref="F100">Common_InputFunctions.Utility_DisplayArrayInTable(Scope3_SourceData.Scope3_Feed_Data(), Table_SourceData_Scope3_Feed[[#Headers],[Category]], -1, 2)</f>
        <v>NT</v>
      </c>
      <c r="G100" s="19" t="str" cm="1">
        <f t="array" ref="G100">Common_InputFunctions.Utility_DisplayArrayInTable(Scope3_SourceData.Scope3_Feed_Data(), Table_SourceData_Scope3_Feed[[#Headers],[Category]], -1, 2)</f>
        <v>kg</v>
      </c>
      <c r="H100" s="19" cm="1">
        <f t="array" ref="H100">Common_InputFunctions.Utility_DisplayArrayInTable(Scope3_SourceData.Scope3_Feed_Data(), Table_SourceData_Scope3_Feed[[#Headers],[Category]], -1, 2)</f>
        <v>0.25600000000000001</v>
      </c>
      <c r="I100" s="19" t="str" cm="1">
        <f t="array" ref="I100">Common_InputFunctions.Utility_DisplayArrayInTable(Scope3_SourceData.Scope3_Feed_Data(), Table_SourceData_Scope3_Feed[[#Headers],[Category]], -1, 2)</f>
        <v>at market</v>
      </c>
      <c r="J100" s="19" t="s">
        <v>1169</v>
      </c>
      <c r="L100" s="19" t="str">
        <f>Table_SourceData_Scope3_Feed[[#This Row],[Product]]</f>
        <v>Maize grain</v>
      </c>
      <c r="M100" s="19" t="str">
        <f>Table_SourceData_Scope3_Feed[[#This Row],[Region of origin]]</f>
        <v>NT</v>
      </c>
    </row>
    <row r="101" spans="1:17" ht="20.100000000000001" customHeight="1" x14ac:dyDescent="0.2">
      <c r="D101" s="19" t="str" cm="1">
        <f t="array" ref="D101">Common_InputFunctions.Utility_DisplayArrayInTable(Scope3_SourceData.Scope3_Feed_Data(), Table_SourceData_Scope3_Feed[[#Headers],[Category]], -1, 2)</f>
        <v>Grain</v>
      </c>
      <c r="E101" s="19" t="str" cm="1">
        <f t="array" ref="E101">Common_InputFunctions.Utility_DisplayArrayInTable(Scope3_SourceData.Scope3_Feed_Data(), Table_SourceData_Scope3_Feed[[#Headers],[Category]], -1, 2)</f>
        <v>Maize grain</v>
      </c>
      <c r="F101" s="19" t="str" cm="1">
        <f t="array" ref="F101">Common_InputFunctions.Utility_DisplayArrayInTable(Scope3_SourceData.Scope3_Feed_Data(), Table_SourceData_Scope3_Feed[[#Headers],[Category]], -1, 2)</f>
        <v>QLD</v>
      </c>
      <c r="G101" s="19" t="str" cm="1">
        <f t="array" ref="G101">Common_InputFunctions.Utility_DisplayArrayInTable(Scope3_SourceData.Scope3_Feed_Data(), Table_SourceData_Scope3_Feed[[#Headers],[Category]], -1, 2)</f>
        <v>kg</v>
      </c>
      <c r="H101" s="19" cm="1">
        <f t="array" ref="H101">Common_InputFunctions.Utility_DisplayArrayInTable(Scope3_SourceData.Scope3_Feed_Data(), Table_SourceData_Scope3_Feed[[#Headers],[Category]], -1, 2)</f>
        <v>0.186</v>
      </c>
      <c r="I101" s="19" t="str" cm="1">
        <f t="array" ref="I101">Common_InputFunctions.Utility_DisplayArrayInTable(Scope3_SourceData.Scope3_Feed_Data(), Table_SourceData_Scope3_Feed[[#Headers],[Category]], -1, 2)</f>
        <v>at market</v>
      </c>
      <c r="J101" s="19" t="s">
        <v>1169</v>
      </c>
      <c r="L101" s="19" t="str">
        <f>Table_SourceData_Scope3_Feed[[#This Row],[Product]]</f>
        <v>Maize grain</v>
      </c>
      <c r="M101" s="19" t="str">
        <f>Table_SourceData_Scope3_Feed[[#This Row],[Region of origin]]</f>
        <v>QLD</v>
      </c>
    </row>
    <row r="102" spans="1:17" ht="20.100000000000001" customHeight="1" x14ac:dyDescent="0.2">
      <c r="D102" s="19" t="str" cm="1">
        <f t="array" ref="D102">Common_InputFunctions.Utility_DisplayArrayInTable(Scope3_SourceData.Scope3_Feed_Data(), Table_SourceData_Scope3_Feed[[#Headers],[Category]], -1, 2)</f>
        <v>Grain</v>
      </c>
      <c r="E102" s="19" t="str" cm="1">
        <f t="array" ref="E102">Common_InputFunctions.Utility_DisplayArrayInTable(Scope3_SourceData.Scope3_Feed_Data(), Table_SourceData_Scope3_Feed[[#Headers],[Category]], -1, 2)</f>
        <v>Maize grain</v>
      </c>
      <c r="F102" s="19" t="str" cm="1">
        <f t="array" ref="F102">Common_InputFunctions.Utility_DisplayArrayInTable(Scope3_SourceData.Scope3_Feed_Data(), Table_SourceData_Scope3_Feed[[#Headers],[Category]], -1, 2)</f>
        <v>SA</v>
      </c>
      <c r="G102" s="19" t="str" cm="1">
        <f t="array" ref="G102">Common_InputFunctions.Utility_DisplayArrayInTable(Scope3_SourceData.Scope3_Feed_Data(), Table_SourceData_Scope3_Feed[[#Headers],[Category]], -1, 2)</f>
        <v>kg</v>
      </c>
      <c r="H102" s="19" cm="1">
        <f t="array" ref="H102">Common_InputFunctions.Utility_DisplayArrayInTable(Scope3_SourceData.Scope3_Feed_Data(), Table_SourceData_Scope3_Feed[[#Headers],[Category]], -1, 2)</f>
        <v>0.17599999999999999</v>
      </c>
      <c r="I102" s="19" t="str" cm="1">
        <f t="array" ref="I102">Common_InputFunctions.Utility_DisplayArrayInTable(Scope3_SourceData.Scope3_Feed_Data(), Table_SourceData_Scope3_Feed[[#Headers],[Category]], -1, 2)</f>
        <v>at market</v>
      </c>
      <c r="J102" s="19" t="s">
        <v>1169</v>
      </c>
      <c r="L102" s="19" t="str">
        <f>Table_SourceData_Scope3_Feed[[#This Row],[Product]]</f>
        <v>Maize grain</v>
      </c>
      <c r="M102" s="19" t="str">
        <f>Table_SourceData_Scope3_Feed[[#This Row],[Region of origin]]</f>
        <v>SA</v>
      </c>
    </row>
    <row r="103" spans="1:17" ht="20.100000000000001" customHeight="1" x14ac:dyDescent="0.2">
      <c r="D103" s="19" t="str" cm="1">
        <f t="array" ref="D103">Common_InputFunctions.Utility_DisplayArrayInTable(Scope3_SourceData.Scope3_Feed_Data(), Table_SourceData_Scope3_Feed[[#Headers],[Category]], -1, 2)</f>
        <v>Grain</v>
      </c>
      <c r="E103" s="19" t="str" cm="1">
        <f t="array" ref="E103">Common_InputFunctions.Utility_DisplayArrayInTable(Scope3_SourceData.Scope3_Feed_Data(), Table_SourceData_Scope3_Feed[[#Headers],[Category]], -1, 2)</f>
        <v>Maize grain</v>
      </c>
      <c r="F103" s="19" t="str" cm="1">
        <f t="array" ref="F103">Common_InputFunctions.Utility_DisplayArrayInTable(Scope3_SourceData.Scope3_Feed_Data(), Table_SourceData_Scope3_Feed[[#Headers],[Category]], -1, 2)</f>
        <v>VIC</v>
      </c>
      <c r="G103" s="19" t="str" cm="1">
        <f t="array" ref="G103">Common_InputFunctions.Utility_DisplayArrayInTable(Scope3_SourceData.Scope3_Feed_Data(), Table_SourceData_Scope3_Feed[[#Headers],[Category]], -1, 2)</f>
        <v>kg</v>
      </c>
      <c r="H103" s="19" cm="1">
        <f t="array" ref="H103">Common_InputFunctions.Utility_DisplayArrayInTable(Scope3_SourceData.Scope3_Feed_Data(), Table_SourceData_Scope3_Feed[[#Headers],[Category]], -1, 2)</f>
        <v>0.159</v>
      </c>
      <c r="I103" s="19" t="str" cm="1">
        <f t="array" ref="I103">Common_InputFunctions.Utility_DisplayArrayInTable(Scope3_SourceData.Scope3_Feed_Data(), Table_SourceData_Scope3_Feed[[#Headers],[Category]], -1, 2)</f>
        <v>at market</v>
      </c>
      <c r="J103" s="19" t="s">
        <v>1169</v>
      </c>
      <c r="L103" s="19" t="str">
        <f>Table_SourceData_Scope3_Feed[[#This Row],[Product]]</f>
        <v>Maize grain</v>
      </c>
      <c r="M103" s="19" t="str">
        <f>Table_SourceData_Scope3_Feed[[#This Row],[Region of origin]]</f>
        <v>VIC</v>
      </c>
    </row>
    <row r="104" spans="1:17" ht="20.100000000000001" customHeight="1" x14ac:dyDescent="0.2">
      <c r="D104" s="19" t="str" cm="1">
        <f t="array" ref="D104">Common_InputFunctions.Utility_DisplayArrayInTable(Scope3_SourceData.Scope3_Feed_Data(), Table_SourceData_Scope3_Feed[[#Headers],[Category]], -1, 2)</f>
        <v>Grain</v>
      </c>
      <c r="E104" s="19" t="str" cm="1">
        <f t="array" ref="E104">Common_InputFunctions.Utility_DisplayArrayInTable(Scope3_SourceData.Scope3_Feed_Data(), Table_SourceData_Scope3_Feed[[#Headers],[Category]], -1, 2)</f>
        <v>Maize grain</v>
      </c>
      <c r="F104" s="19" t="str" cm="1">
        <f t="array" ref="F104">Common_InputFunctions.Utility_DisplayArrayInTable(Scope3_SourceData.Scope3_Feed_Data(), Table_SourceData_Scope3_Feed[[#Headers],[Category]], -1, 2)</f>
        <v>WA</v>
      </c>
      <c r="G104" s="19" t="str" cm="1">
        <f t="array" ref="G104">Common_InputFunctions.Utility_DisplayArrayInTable(Scope3_SourceData.Scope3_Feed_Data(), Table_SourceData_Scope3_Feed[[#Headers],[Category]], -1, 2)</f>
        <v>kg</v>
      </c>
      <c r="H104" s="19" cm="1">
        <f t="array" ref="H104">Common_InputFunctions.Utility_DisplayArrayInTable(Scope3_SourceData.Scope3_Feed_Data(), Table_SourceData_Scope3_Feed[[#Headers],[Category]], -1, 2)</f>
        <v>0.28499999999999998</v>
      </c>
      <c r="I104" s="19" t="str" cm="1">
        <f t="array" ref="I104">Common_InputFunctions.Utility_DisplayArrayInTable(Scope3_SourceData.Scope3_Feed_Data(), Table_SourceData_Scope3_Feed[[#Headers],[Category]], -1, 2)</f>
        <v>at market</v>
      </c>
      <c r="J104" s="19" t="s">
        <v>1169</v>
      </c>
      <c r="L104" s="19" t="str">
        <f>Table_SourceData_Scope3_Feed[[#This Row],[Product]]</f>
        <v>Maize grain</v>
      </c>
      <c r="M104" s="19" t="str">
        <f>Table_SourceData_Scope3_Feed[[#This Row],[Region of origin]]</f>
        <v>WA</v>
      </c>
      <c r="O104" s="19" t="s">
        <v>132</v>
      </c>
      <c r="P104" s="19" t="s">
        <v>1167</v>
      </c>
      <c r="Q104" s="1" t="str">
        <f>"Table_ProductRegions_" &amp; SUBSTITUTE(SUBSTITUTE(SUBSTITUTE(SUBSTITUTE(O105, " ", ""), ",", ""), "(", ""), ")", "")</f>
        <v>Table_ProductRegions_Sorghumgrain</v>
      </c>
    </row>
    <row r="105" spans="1:17" ht="20.100000000000001" customHeight="1" x14ac:dyDescent="0.2">
      <c r="D105" s="19" t="str" cm="1">
        <f t="array" ref="D105">Common_InputFunctions.Utility_DisplayArrayInTable(Scope3_SourceData.Scope3_Feed_Data(), Table_SourceData_Scope3_Feed[[#Headers],[Category]], -1, 2)</f>
        <v>Grain</v>
      </c>
      <c r="E105" s="19" t="str" cm="1">
        <f t="array" ref="E105">Common_InputFunctions.Utility_DisplayArrayInTable(Scope3_SourceData.Scope3_Feed_Data(), Table_SourceData_Scope3_Feed[[#Headers],[Category]], -1, 2)</f>
        <v>Sorghum grain</v>
      </c>
      <c r="F105" s="19" t="str" cm="1">
        <f t="array" ref="F105">Common_InputFunctions.Utility_DisplayArrayInTable(Scope3_SourceData.Scope3_Feed_Data(), Table_SourceData_Scope3_Feed[[#Headers],[Category]], -1, 2)</f>
        <v>Australia</v>
      </c>
      <c r="G105" s="19" t="str" cm="1">
        <f t="array" ref="G105">Common_InputFunctions.Utility_DisplayArrayInTable(Scope3_SourceData.Scope3_Feed_Data(), Table_SourceData_Scope3_Feed[[#Headers],[Category]], -1, 2)</f>
        <v>kg</v>
      </c>
      <c r="H105" s="19" cm="1">
        <f t="array" ref="H105">Common_InputFunctions.Utility_DisplayArrayInTable(Scope3_SourceData.Scope3_Feed_Data(), Table_SourceData_Scope3_Feed[[#Headers],[Category]], -1, 2)</f>
        <v>0.23200000000000001</v>
      </c>
      <c r="I105" s="19" t="str" cm="1">
        <f t="array" ref="I105">Common_InputFunctions.Utility_DisplayArrayInTable(Scope3_SourceData.Scope3_Feed_Data(), Table_SourceData_Scope3_Feed[[#Headers],[Category]], -1, 2)</f>
        <v>at market</v>
      </c>
      <c r="J105" s="19" t="s">
        <v>1169</v>
      </c>
      <c r="O105" s="19" t="str">
        <f>Table_SourceData_Scope3_Feed[[#This Row],[Product]]</f>
        <v>Sorghum grain</v>
      </c>
      <c r="P105" s="19" t="str">
        <f>Table_SourceData_Scope3_Feed[[#This Row],[Region of origin]]</f>
        <v>Australia</v>
      </c>
    </row>
    <row r="106" spans="1:17" ht="20.100000000000001" customHeight="1" x14ac:dyDescent="0.2">
      <c r="D106" s="19" t="str" cm="1">
        <f t="array" ref="D106">Common_InputFunctions.Utility_DisplayArrayInTable(Scope3_SourceData.Scope3_Feed_Data(), Table_SourceData_Scope3_Feed[[#Headers],[Category]], -1, 2)</f>
        <v>Grain</v>
      </c>
      <c r="E106" s="19" t="str" cm="1">
        <f t="array" ref="E106">Common_InputFunctions.Utility_DisplayArrayInTable(Scope3_SourceData.Scope3_Feed_Data(), Table_SourceData_Scope3_Feed[[#Headers],[Category]], -1, 2)</f>
        <v>Sorghum grain</v>
      </c>
      <c r="F106" s="19" t="str" cm="1">
        <f t="array" ref="F106">Common_InputFunctions.Utility_DisplayArrayInTable(Scope3_SourceData.Scope3_Feed_Data(), Table_SourceData_Scope3_Feed[[#Headers],[Category]], -1, 2)</f>
        <v>NSW</v>
      </c>
      <c r="G106" s="19" t="str" cm="1">
        <f t="array" ref="G106">Common_InputFunctions.Utility_DisplayArrayInTable(Scope3_SourceData.Scope3_Feed_Data(), Table_SourceData_Scope3_Feed[[#Headers],[Category]], -1, 2)</f>
        <v>kg</v>
      </c>
      <c r="H106" s="19" cm="1">
        <f t="array" ref="H106">Common_InputFunctions.Utility_DisplayArrayInTable(Scope3_SourceData.Scope3_Feed_Data(), Table_SourceData_Scope3_Feed[[#Headers],[Category]], -1, 2)</f>
        <v>0.23200000000000001</v>
      </c>
      <c r="I106" s="19" t="str" cm="1">
        <f t="array" ref="I106">Common_InputFunctions.Utility_DisplayArrayInTable(Scope3_SourceData.Scope3_Feed_Data(), Table_SourceData_Scope3_Feed[[#Headers],[Category]], -1, 2)</f>
        <v>at market</v>
      </c>
      <c r="J106" s="19" t="s">
        <v>1169</v>
      </c>
      <c r="O106" s="19" t="str">
        <f>Table_SourceData_Scope3_Feed[[#This Row],[Product]]</f>
        <v>Sorghum grain</v>
      </c>
      <c r="P106" s="19" t="str">
        <f>Table_SourceData_Scope3_Feed[[#This Row],[Region of origin]]</f>
        <v>NSW</v>
      </c>
    </row>
    <row r="107" spans="1:17" ht="20.100000000000001" customHeight="1" x14ac:dyDescent="0.2">
      <c r="D107" s="19" t="str" cm="1">
        <f t="array" ref="D107">Common_InputFunctions.Utility_DisplayArrayInTable(Scope3_SourceData.Scope3_Feed_Data(), Table_SourceData_Scope3_Feed[[#Headers],[Category]], -1, 2)</f>
        <v>Grain</v>
      </c>
      <c r="E107" s="19" t="str" cm="1">
        <f t="array" ref="E107">Common_InputFunctions.Utility_DisplayArrayInTable(Scope3_SourceData.Scope3_Feed_Data(), Table_SourceData_Scope3_Feed[[#Headers],[Category]], -1, 2)</f>
        <v>Sorghum grain</v>
      </c>
      <c r="F107" s="19" t="str" cm="1">
        <f t="array" ref="F107">Common_InputFunctions.Utility_DisplayArrayInTable(Scope3_SourceData.Scope3_Feed_Data(), Table_SourceData_Scope3_Feed[[#Headers],[Category]], -1, 2)</f>
        <v>QLD</v>
      </c>
      <c r="G107" s="19" t="str" cm="1">
        <f t="array" ref="G107">Common_InputFunctions.Utility_DisplayArrayInTable(Scope3_SourceData.Scope3_Feed_Data(), Table_SourceData_Scope3_Feed[[#Headers],[Category]], -1, 2)</f>
        <v>kg</v>
      </c>
      <c r="H107" s="19" cm="1">
        <f t="array" ref="H107">Common_InputFunctions.Utility_DisplayArrayInTable(Scope3_SourceData.Scope3_Feed_Data(), Table_SourceData_Scope3_Feed[[#Headers],[Category]], -1, 2)</f>
        <v>0.23100000000000001</v>
      </c>
      <c r="I107" s="19" t="str" cm="1">
        <f t="array" ref="I107">Common_InputFunctions.Utility_DisplayArrayInTable(Scope3_SourceData.Scope3_Feed_Data(), Table_SourceData_Scope3_Feed[[#Headers],[Category]], -1, 2)</f>
        <v>at market</v>
      </c>
      <c r="J107" s="19" t="s">
        <v>1169</v>
      </c>
      <c r="O107" s="19" t="str">
        <f>Table_SourceData_Scope3_Feed[[#This Row],[Product]]</f>
        <v>Sorghum grain</v>
      </c>
      <c r="P107" s="19" t="str">
        <f>Table_SourceData_Scope3_Feed[[#This Row],[Region of origin]]</f>
        <v>QLD</v>
      </c>
    </row>
    <row r="108" spans="1:17" ht="20.100000000000001" customHeight="1" x14ac:dyDescent="0.2">
      <c r="D108" s="19" t="str" cm="1">
        <f t="array" ref="D108">Common_InputFunctions.Utility_DisplayArrayInTable(Scope3_SourceData.Scope3_Feed_Data(), Table_SourceData_Scope3_Feed[[#Headers],[Category]], -1, 2)</f>
        <v>Grain</v>
      </c>
      <c r="E108" s="19" t="str" cm="1">
        <f t="array" ref="E108">Common_InputFunctions.Utility_DisplayArrayInTable(Scope3_SourceData.Scope3_Feed_Data(), Table_SourceData_Scope3_Feed[[#Headers],[Category]], -1, 2)</f>
        <v>Sorghum grain</v>
      </c>
      <c r="F108" s="19" t="str" cm="1">
        <f t="array" ref="F108">Common_InputFunctions.Utility_DisplayArrayInTable(Scope3_SourceData.Scope3_Feed_Data(), Table_SourceData_Scope3_Feed[[#Headers],[Category]], -1, 2)</f>
        <v>SA</v>
      </c>
      <c r="G108" s="19" t="str" cm="1">
        <f t="array" ref="G108">Common_InputFunctions.Utility_DisplayArrayInTable(Scope3_SourceData.Scope3_Feed_Data(), Table_SourceData_Scope3_Feed[[#Headers],[Category]], -1, 2)</f>
        <v>kg</v>
      </c>
      <c r="H108" s="19" cm="1">
        <f t="array" ref="H108">Common_InputFunctions.Utility_DisplayArrayInTable(Scope3_SourceData.Scope3_Feed_Data(), Table_SourceData_Scope3_Feed[[#Headers],[Category]], -1, 2)</f>
        <v>0.218</v>
      </c>
      <c r="I108" s="19" t="str" cm="1">
        <f t="array" ref="I108">Common_InputFunctions.Utility_DisplayArrayInTable(Scope3_SourceData.Scope3_Feed_Data(), Table_SourceData_Scope3_Feed[[#Headers],[Category]], -1, 2)</f>
        <v>at market</v>
      </c>
      <c r="J108" s="19" t="s">
        <v>1169</v>
      </c>
      <c r="O108" s="19" t="str">
        <f>Table_SourceData_Scope3_Feed[[#This Row],[Product]]</f>
        <v>Sorghum grain</v>
      </c>
      <c r="P108" s="19" t="str">
        <f>Table_SourceData_Scope3_Feed[[#This Row],[Region of origin]]</f>
        <v>SA</v>
      </c>
    </row>
    <row r="109" spans="1:17" ht="20.100000000000001" customHeight="1" x14ac:dyDescent="0.2">
      <c r="D109" s="19" t="str" cm="1">
        <f t="array" ref="D109">Common_InputFunctions.Utility_DisplayArrayInTable(Scope3_SourceData.Scope3_Feed_Data(), Table_SourceData_Scope3_Feed[[#Headers],[Category]], -1, 2)</f>
        <v>Grain</v>
      </c>
      <c r="E109" s="19" t="str" cm="1">
        <f t="array" ref="E109">Common_InputFunctions.Utility_DisplayArrayInTable(Scope3_SourceData.Scope3_Feed_Data(), Table_SourceData_Scope3_Feed[[#Headers],[Category]], -1, 2)</f>
        <v>Sorghum grain</v>
      </c>
      <c r="F109" s="19" t="str" cm="1">
        <f t="array" ref="F109">Common_InputFunctions.Utility_DisplayArrayInTable(Scope3_SourceData.Scope3_Feed_Data(), Table_SourceData_Scope3_Feed[[#Headers],[Category]], -1, 2)</f>
        <v>VIC</v>
      </c>
      <c r="G109" s="19" t="str" cm="1">
        <f t="array" ref="G109">Common_InputFunctions.Utility_DisplayArrayInTable(Scope3_SourceData.Scope3_Feed_Data(), Table_SourceData_Scope3_Feed[[#Headers],[Category]], -1, 2)</f>
        <v>kg</v>
      </c>
      <c r="H109" s="19" cm="1">
        <f t="array" ref="H109">Common_InputFunctions.Utility_DisplayArrayInTable(Scope3_SourceData.Scope3_Feed_Data(), Table_SourceData_Scope3_Feed[[#Headers],[Category]], -1, 2)</f>
        <v>0.246</v>
      </c>
      <c r="I109" s="19" t="str" cm="1">
        <f t="array" ref="I109">Common_InputFunctions.Utility_DisplayArrayInTable(Scope3_SourceData.Scope3_Feed_Data(), Table_SourceData_Scope3_Feed[[#Headers],[Category]], -1, 2)</f>
        <v>at market</v>
      </c>
      <c r="J109" s="19" t="s">
        <v>1169</v>
      </c>
      <c r="L109" s="19" t="s">
        <v>132</v>
      </c>
      <c r="M109" s="19" t="s">
        <v>1167</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1:17" ht="20.100000000000001" customHeight="1" x14ac:dyDescent="0.2">
      <c r="D110" s="19" t="str" cm="1">
        <f t="array" ref="D110">Common_InputFunctions.Utility_DisplayArrayInTable(Scope3_SourceData.Scope3_Feed_Data(), Table_SourceData_Scope3_Feed[[#Headers],[Category]], -1, 2)</f>
        <v>Grain</v>
      </c>
      <c r="E110" s="19" t="str" cm="1">
        <f t="array" ref="E110">Common_InputFunctions.Utility_DisplayArrayInTable(Scope3_SourceData.Scope3_Feed_Data(), Table_SourceData_Scope3_Feed[[#Headers],[Category]], -1, 2)</f>
        <v>Wheat grain</v>
      </c>
      <c r="F110" s="19" t="str" cm="1">
        <f t="array" ref="F110">Common_InputFunctions.Utility_DisplayArrayInTable(Scope3_SourceData.Scope3_Feed_Data(), Table_SourceData_Scope3_Feed[[#Headers],[Category]], -1, 2)</f>
        <v>Australia</v>
      </c>
      <c r="G110" s="19" t="str" cm="1">
        <f t="array" ref="G110">Common_InputFunctions.Utility_DisplayArrayInTable(Scope3_SourceData.Scope3_Feed_Data(), Table_SourceData_Scope3_Feed[[#Headers],[Category]], -1, 2)</f>
        <v>kg</v>
      </c>
      <c r="H110" s="19" cm="1">
        <f t="array" ref="H110">Common_InputFunctions.Utility_DisplayArrayInTable(Scope3_SourceData.Scope3_Feed_Data(), Table_SourceData_Scope3_Feed[[#Headers],[Category]], -1, 2)</f>
        <v>0.26800000000000002</v>
      </c>
      <c r="I110" s="19" t="str" cm="1">
        <f t="array" ref="I110">Common_InputFunctions.Utility_DisplayArrayInTable(Scope3_SourceData.Scope3_Feed_Data(), Table_SourceData_Scope3_Feed[[#Headers],[Category]], -1, 2)</f>
        <v>at market</v>
      </c>
      <c r="J110" s="19" t="s">
        <v>1169</v>
      </c>
      <c r="L110" s="19" t="str">
        <f>Table_SourceData_Scope3_Feed[[#This Row],[Product]]</f>
        <v>Wheat grain</v>
      </c>
      <c r="M110" s="19" t="str">
        <f>Table_SourceData_Scope3_Feed[[#This Row],[Region of origin]]</f>
        <v>Australia</v>
      </c>
    </row>
    <row r="111" spans="1:17" ht="20.100000000000001" customHeight="1" x14ac:dyDescent="0.2">
      <c r="D111" s="19" t="str" cm="1">
        <f t="array" ref="D111">Common_InputFunctions.Utility_DisplayArrayInTable(Scope3_SourceData.Scope3_Feed_Data(), Table_SourceData_Scope3_Feed[[#Headers],[Category]], -1, 2)</f>
        <v>Grain</v>
      </c>
      <c r="E111" s="19" t="str" cm="1">
        <f t="array" ref="E111">Common_InputFunctions.Utility_DisplayArrayInTable(Scope3_SourceData.Scope3_Feed_Data(), Table_SourceData_Scope3_Feed[[#Headers],[Category]], -1, 2)</f>
        <v>Wheat grain</v>
      </c>
      <c r="F111" s="19" t="str" cm="1">
        <f t="array" ref="F111">Common_InputFunctions.Utility_DisplayArrayInTable(Scope3_SourceData.Scope3_Feed_Data(), Table_SourceData_Scope3_Feed[[#Headers],[Category]], -1, 2)</f>
        <v>NSW</v>
      </c>
      <c r="G111" s="19" t="str" cm="1">
        <f t="array" ref="G111">Common_InputFunctions.Utility_DisplayArrayInTable(Scope3_SourceData.Scope3_Feed_Data(), Table_SourceData_Scope3_Feed[[#Headers],[Category]], -1, 2)</f>
        <v>kg</v>
      </c>
      <c r="H111" s="19" cm="1">
        <f t="array" ref="H111">Common_InputFunctions.Utility_DisplayArrayInTable(Scope3_SourceData.Scope3_Feed_Data(), Table_SourceData_Scope3_Feed[[#Headers],[Category]], -1, 2)</f>
        <v>0.28199999999999997</v>
      </c>
      <c r="I111" s="19" t="str" cm="1">
        <f t="array" ref="I111">Common_InputFunctions.Utility_DisplayArrayInTable(Scope3_SourceData.Scope3_Feed_Data(), Table_SourceData_Scope3_Feed[[#Headers],[Category]], -1, 2)</f>
        <v>at market</v>
      </c>
      <c r="J111" s="19" t="s">
        <v>1169</v>
      </c>
      <c r="L111" s="19" t="str">
        <f>Table_SourceData_Scope3_Feed[[#This Row],[Product]]</f>
        <v>Wheat grain</v>
      </c>
      <c r="M111" s="19" t="str">
        <f>Table_SourceData_Scope3_Feed[[#This Row],[Region of origin]]</f>
        <v>NSW</v>
      </c>
    </row>
    <row r="112" spans="1:17" ht="20.100000000000001" customHeight="1" x14ac:dyDescent="0.2">
      <c r="D112" s="19" t="str" cm="1">
        <f t="array" ref="D112">Common_InputFunctions.Utility_DisplayArrayInTable(Scope3_SourceData.Scope3_Feed_Data(), Table_SourceData_Scope3_Feed[[#Headers],[Category]], -1, 2)</f>
        <v>Grain</v>
      </c>
      <c r="E112" s="19" t="str" cm="1">
        <f t="array" ref="E112">Common_InputFunctions.Utility_DisplayArrayInTable(Scope3_SourceData.Scope3_Feed_Data(), Table_SourceData_Scope3_Feed[[#Headers],[Category]], -1, 2)</f>
        <v>Wheat grain</v>
      </c>
      <c r="F112" s="19" t="str" cm="1">
        <f t="array" ref="F112">Common_InputFunctions.Utility_DisplayArrayInTable(Scope3_SourceData.Scope3_Feed_Data(), Table_SourceData_Scope3_Feed[[#Headers],[Category]], -1, 2)</f>
        <v>NT</v>
      </c>
      <c r="G112" s="19" t="str" cm="1">
        <f t="array" ref="G112">Common_InputFunctions.Utility_DisplayArrayInTable(Scope3_SourceData.Scope3_Feed_Data(), Table_SourceData_Scope3_Feed[[#Headers],[Category]], -1, 2)</f>
        <v>kg</v>
      </c>
      <c r="H112" s="19" cm="1">
        <f t="array" ref="H112">Common_InputFunctions.Utility_DisplayArrayInTable(Scope3_SourceData.Scope3_Feed_Data(), Table_SourceData_Scope3_Feed[[#Headers],[Category]], -1, 2)</f>
        <v>0.38500000000000001</v>
      </c>
      <c r="I112" s="19" t="str" cm="1">
        <f t="array" ref="I112">Common_InputFunctions.Utility_DisplayArrayInTable(Scope3_SourceData.Scope3_Feed_Data(), Table_SourceData_Scope3_Feed[[#Headers],[Category]], -1, 2)</f>
        <v>at market</v>
      </c>
      <c r="J112" s="19" t="s">
        <v>1169</v>
      </c>
      <c r="L112" s="19" t="str">
        <f>Table_SourceData_Scope3_Feed[[#This Row],[Product]]</f>
        <v>Wheat grain</v>
      </c>
      <c r="M112" s="19" t="str">
        <f>Table_SourceData_Scope3_Feed[[#This Row],[Region of origin]]</f>
        <v>NT</v>
      </c>
    </row>
    <row r="113" spans="1:17" ht="20.100000000000001" customHeight="1" x14ac:dyDescent="0.2">
      <c r="D113" s="19" t="str" cm="1">
        <f t="array" ref="D113">Common_InputFunctions.Utility_DisplayArrayInTable(Scope3_SourceData.Scope3_Feed_Data(), Table_SourceData_Scope3_Feed[[#Headers],[Category]], -1, 2)</f>
        <v>Grain</v>
      </c>
      <c r="E113" s="19" t="str" cm="1">
        <f t="array" ref="E113">Common_InputFunctions.Utility_DisplayArrayInTable(Scope3_SourceData.Scope3_Feed_Data(), Table_SourceData_Scope3_Feed[[#Headers],[Category]], -1, 2)</f>
        <v>Wheat grain</v>
      </c>
      <c r="F113" s="19" t="str" cm="1">
        <f t="array" ref="F113">Common_InputFunctions.Utility_DisplayArrayInTable(Scope3_SourceData.Scope3_Feed_Data(), Table_SourceData_Scope3_Feed[[#Headers],[Category]], -1, 2)</f>
        <v>QLD</v>
      </c>
      <c r="G113" s="19" t="str" cm="1">
        <f t="array" ref="G113">Common_InputFunctions.Utility_DisplayArrayInTable(Scope3_SourceData.Scope3_Feed_Data(), Table_SourceData_Scope3_Feed[[#Headers],[Category]], -1, 2)</f>
        <v>kg</v>
      </c>
      <c r="H113" s="19" cm="1">
        <f t="array" ref="H113">Common_InputFunctions.Utility_DisplayArrayInTable(Scope3_SourceData.Scope3_Feed_Data(), Table_SourceData_Scope3_Feed[[#Headers],[Category]], -1, 2)</f>
        <v>0.29599999999999999</v>
      </c>
      <c r="I113" s="19" t="str" cm="1">
        <f t="array" ref="I113">Common_InputFunctions.Utility_DisplayArrayInTable(Scope3_SourceData.Scope3_Feed_Data(), Table_SourceData_Scope3_Feed[[#Headers],[Category]], -1, 2)</f>
        <v>at market</v>
      </c>
      <c r="J113" s="19" t="s">
        <v>1169</v>
      </c>
      <c r="L113" s="19" t="str">
        <f>Table_SourceData_Scope3_Feed[[#This Row],[Product]]</f>
        <v>Wheat grain</v>
      </c>
      <c r="M113" s="19" t="str">
        <f>Table_SourceData_Scope3_Feed[[#This Row],[Region of origin]]</f>
        <v>QLD</v>
      </c>
    </row>
    <row r="114" spans="1:17" ht="20.100000000000001" customHeight="1" x14ac:dyDescent="0.2">
      <c r="D114" s="19" t="str" cm="1">
        <f t="array" ref="D114">Common_InputFunctions.Utility_DisplayArrayInTable(Scope3_SourceData.Scope3_Feed_Data(), Table_SourceData_Scope3_Feed[[#Headers],[Category]], -1, 2)</f>
        <v>Grain</v>
      </c>
      <c r="E114" s="19" t="str" cm="1">
        <f t="array" ref="E114">Common_InputFunctions.Utility_DisplayArrayInTable(Scope3_SourceData.Scope3_Feed_Data(), Table_SourceData_Scope3_Feed[[#Headers],[Category]], -1, 2)</f>
        <v>Wheat grain</v>
      </c>
      <c r="F114" s="19" t="str" cm="1">
        <f t="array" ref="F114">Common_InputFunctions.Utility_DisplayArrayInTable(Scope3_SourceData.Scope3_Feed_Data(), Table_SourceData_Scope3_Feed[[#Headers],[Category]], -1, 2)</f>
        <v>SA</v>
      </c>
      <c r="G114" s="19" t="str" cm="1">
        <f t="array" ref="G114">Common_InputFunctions.Utility_DisplayArrayInTable(Scope3_SourceData.Scope3_Feed_Data(), Table_SourceData_Scope3_Feed[[#Headers],[Category]], -1, 2)</f>
        <v>kg</v>
      </c>
      <c r="H114" s="19" cm="1">
        <f t="array" ref="H114">Common_InputFunctions.Utility_DisplayArrayInTable(Scope3_SourceData.Scope3_Feed_Data(), Table_SourceData_Scope3_Feed[[#Headers],[Category]], -1, 2)</f>
        <v>0.24099999999999999</v>
      </c>
      <c r="I114" s="19" t="str" cm="1">
        <f t="array" ref="I114">Common_InputFunctions.Utility_DisplayArrayInTable(Scope3_SourceData.Scope3_Feed_Data(), Table_SourceData_Scope3_Feed[[#Headers],[Category]], -1, 2)</f>
        <v>at market</v>
      </c>
      <c r="J114" s="19" t="s">
        <v>1169</v>
      </c>
      <c r="L114" s="19" t="str">
        <f>Table_SourceData_Scope3_Feed[[#This Row],[Product]]</f>
        <v>Wheat grain</v>
      </c>
      <c r="M114" s="19" t="str">
        <f>Table_SourceData_Scope3_Feed[[#This Row],[Region of origin]]</f>
        <v>SA</v>
      </c>
    </row>
    <row r="115" spans="1:17" ht="20.100000000000001" customHeight="1" x14ac:dyDescent="0.2">
      <c r="D115" s="19" t="str" cm="1">
        <f t="array" ref="D115">Common_InputFunctions.Utility_DisplayArrayInTable(Scope3_SourceData.Scope3_Feed_Data(), Table_SourceData_Scope3_Feed[[#Headers],[Category]], -1, 2)</f>
        <v>Grain</v>
      </c>
      <c r="E115" s="19" t="str" cm="1">
        <f t="array" ref="E115">Common_InputFunctions.Utility_DisplayArrayInTable(Scope3_SourceData.Scope3_Feed_Data(), Table_SourceData_Scope3_Feed[[#Headers],[Category]], -1, 2)</f>
        <v>Wheat grain</v>
      </c>
      <c r="F115" s="19" t="str" cm="1">
        <f t="array" ref="F115">Common_InputFunctions.Utility_DisplayArrayInTable(Scope3_SourceData.Scope3_Feed_Data(), Table_SourceData_Scope3_Feed[[#Headers],[Category]], -1, 2)</f>
        <v>TAS</v>
      </c>
      <c r="G115" s="19" t="str" cm="1">
        <f t="array" ref="G115">Common_InputFunctions.Utility_DisplayArrayInTable(Scope3_SourceData.Scope3_Feed_Data(), Table_SourceData_Scope3_Feed[[#Headers],[Category]], -1, 2)</f>
        <v>kg</v>
      </c>
      <c r="H115" s="19" cm="1">
        <f t="array" ref="H115">Common_InputFunctions.Utility_DisplayArrayInTable(Scope3_SourceData.Scope3_Feed_Data(), Table_SourceData_Scope3_Feed[[#Headers],[Category]], -1, 2)</f>
        <v>0.33800000000000002</v>
      </c>
      <c r="I115" s="19" t="str" cm="1">
        <f t="array" ref="I115">Common_InputFunctions.Utility_DisplayArrayInTable(Scope3_SourceData.Scope3_Feed_Data(), Table_SourceData_Scope3_Feed[[#Headers],[Category]], -1, 2)</f>
        <v>at market</v>
      </c>
      <c r="J115" s="19" t="s">
        <v>1169</v>
      </c>
      <c r="L115" s="19" t="str">
        <f>Table_SourceData_Scope3_Feed[[#This Row],[Product]]</f>
        <v>Wheat grain</v>
      </c>
      <c r="M115" s="19" t="str">
        <f>Table_SourceData_Scope3_Feed[[#This Row],[Region of origin]]</f>
        <v>TAS</v>
      </c>
    </row>
    <row r="116" spans="1:17" ht="20.100000000000001" customHeight="1" x14ac:dyDescent="0.2">
      <c r="D116" s="19" t="str" cm="1">
        <f t="array" ref="D116">Common_InputFunctions.Utility_DisplayArrayInTable(Scope3_SourceData.Scope3_Feed_Data(), Table_SourceData_Scope3_Feed[[#Headers],[Category]], -1, 2)</f>
        <v>Grain</v>
      </c>
      <c r="E116" s="19" t="str" cm="1">
        <f t="array" ref="E116">Common_InputFunctions.Utility_DisplayArrayInTable(Scope3_SourceData.Scope3_Feed_Data(), Table_SourceData_Scope3_Feed[[#Headers],[Category]], -1, 2)</f>
        <v>Wheat grain</v>
      </c>
      <c r="F116" s="19" t="str" cm="1">
        <f t="array" ref="F116">Common_InputFunctions.Utility_DisplayArrayInTable(Scope3_SourceData.Scope3_Feed_Data(), Table_SourceData_Scope3_Feed[[#Headers],[Category]], -1, 2)</f>
        <v>VIC</v>
      </c>
      <c r="G116" s="19" t="str" cm="1">
        <f t="array" ref="G116">Common_InputFunctions.Utility_DisplayArrayInTable(Scope3_SourceData.Scope3_Feed_Data(), Table_SourceData_Scope3_Feed[[#Headers],[Category]], -1, 2)</f>
        <v>kg</v>
      </c>
      <c r="H116" s="19" cm="1">
        <f t="array" ref="H116">Common_InputFunctions.Utility_DisplayArrayInTable(Scope3_SourceData.Scope3_Feed_Data(), Table_SourceData_Scope3_Feed[[#Headers],[Category]], -1, 2)</f>
        <v>0.26600000000000001</v>
      </c>
      <c r="I116" s="19" t="str" cm="1">
        <f t="array" ref="I116">Common_InputFunctions.Utility_DisplayArrayInTable(Scope3_SourceData.Scope3_Feed_Data(), Table_SourceData_Scope3_Feed[[#Headers],[Category]], -1, 2)</f>
        <v>at market</v>
      </c>
      <c r="J116" s="19" t="s">
        <v>1169</v>
      </c>
      <c r="L116" s="19" t="str">
        <f>Table_SourceData_Scope3_Feed[[#This Row],[Product]]</f>
        <v>Wheat grain</v>
      </c>
      <c r="M116" s="19" t="str">
        <f>Table_SourceData_Scope3_Feed[[#This Row],[Region of origin]]</f>
        <v>VIC</v>
      </c>
    </row>
    <row r="117" spans="1:17" ht="20.100000000000001" customHeight="1" x14ac:dyDescent="0.2">
      <c r="D117" s="19" t="str" cm="1">
        <f t="array" ref="D117">Common_InputFunctions.Utility_DisplayArrayInTable(Scope3_SourceData.Scope3_Feed_Data(), Table_SourceData_Scope3_Feed[[#Headers],[Category]], -1, 2)</f>
        <v>Grain</v>
      </c>
      <c r="E117" s="19" t="str" cm="1">
        <f t="array" ref="E117">Common_InputFunctions.Utility_DisplayArrayInTable(Scope3_SourceData.Scope3_Feed_Data(), Table_SourceData_Scope3_Feed[[#Headers],[Category]], -1, 2)</f>
        <v>Wheat grain</v>
      </c>
      <c r="F117" s="19" t="str" cm="1">
        <f t="array" ref="F117">Common_InputFunctions.Utility_DisplayArrayInTable(Scope3_SourceData.Scope3_Feed_Data(), Table_SourceData_Scope3_Feed[[#Headers],[Category]], -1, 2)</f>
        <v>WA</v>
      </c>
      <c r="G117" s="19" t="str" cm="1">
        <f t="array" ref="G117">Common_InputFunctions.Utility_DisplayArrayInTable(Scope3_SourceData.Scope3_Feed_Data(), Table_SourceData_Scope3_Feed[[#Headers],[Category]], -1, 2)</f>
        <v>kg</v>
      </c>
      <c r="H117" s="19" cm="1">
        <f t="array" ref="H117">Common_InputFunctions.Utility_DisplayArrayInTable(Scope3_SourceData.Scope3_Feed_Data(), Table_SourceData_Scope3_Feed[[#Headers],[Category]], -1, 2)</f>
        <v>0.26100000000000001</v>
      </c>
      <c r="I117" s="19" t="str" cm="1">
        <f t="array" ref="I117">Common_InputFunctions.Utility_DisplayArrayInTable(Scope3_SourceData.Scope3_Feed_Data(), Table_SourceData_Scope3_Feed[[#Headers],[Category]], -1, 2)</f>
        <v>at market</v>
      </c>
      <c r="J117" s="19" t="s">
        <v>1169</v>
      </c>
      <c r="L117" s="19" t="str">
        <f>Table_SourceData_Scope3_Feed[[#This Row],[Product]]</f>
        <v>Wheat grain</v>
      </c>
      <c r="M117" s="19" t="str">
        <f>Table_SourceData_Scope3_Feed[[#This Row],[Region of origin]]</f>
        <v>WA</v>
      </c>
      <c r="O117" s="19" t="s">
        <v>132</v>
      </c>
      <c r="P117" s="19" t="s">
        <v>1167</v>
      </c>
      <c r="Q117" s="1" t="str">
        <f>"Table_ProductRegions_" &amp; SUBSTITUTE(SUBSTITUTE(SUBSTITUTE(SUBSTITUTE(O118, " ", ""), ",", ""), "(", ""), ")", "")</f>
        <v>Table_ProductRegions_Cerealhay</v>
      </c>
    </row>
    <row r="118" spans="1:17" ht="20.100000000000001" customHeight="1" x14ac:dyDescent="0.2">
      <c r="D118" s="19" t="str" cm="1">
        <f t="array" ref="D118">Common_InputFunctions.Utility_DisplayArrayInTable(Scope3_SourceData.Scope3_Feed_Data(), Table_SourceData_Scope3_Feed[[#Headers],[Category]], -1, 2)</f>
        <v>Hay</v>
      </c>
      <c r="E118" s="19" t="str" cm="1">
        <f t="array" ref="E118">Common_InputFunctions.Utility_DisplayArrayInTable(Scope3_SourceData.Scope3_Feed_Data(), Table_SourceData_Scope3_Feed[[#Headers],[Category]], -1, 2)</f>
        <v>Cereal hay</v>
      </c>
      <c r="F118" s="19" t="str" cm="1">
        <f t="array" ref="F118">Common_InputFunctions.Utility_DisplayArrayInTable(Scope3_SourceData.Scope3_Feed_Data(), Table_SourceData_Scope3_Feed[[#Headers],[Category]], -1, 2)</f>
        <v>Australia</v>
      </c>
      <c r="G118" s="19" t="str" cm="1">
        <f t="array" ref="G118">Common_InputFunctions.Utility_DisplayArrayInTable(Scope3_SourceData.Scope3_Feed_Data(), Table_SourceData_Scope3_Feed[[#Headers],[Category]], -1, 2)</f>
        <v>kg</v>
      </c>
      <c r="H118" s="19" cm="1">
        <f t="array" ref="H118">Common_InputFunctions.Utility_DisplayArrayInTable(Scope3_SourceData.Scope3_Feed_Data(), Table_SourceData_Scope3_Feed[[#Headers],[Category]], -1, 2)</f>
        <v>0.11700000000000001</v>
      </c>
      <c r="I118" s="19" t="str" cm="1">
        <f t="array" ref="I118">Common_InputFunctions.Utility_DisplayArrayInTable(Scope3_SourceData.Scope3_Feed_Data(), Table_SourceData_Scope3_Feed[[#Headers],[Category]], -1, 2)</f>
        <v>at market</v>
      </c>
      <c r="J118" s="19" t="s">
        <v>1169</v>
      </c>
      <c r="O118" s="19" t="str">
        <f>Table_SourceData_Scope3_Feed[[#This Row],[Product]]</f>
        <v>Cereal hay</v>
      </c>
      <c r="P118" s="19" t="str">
        <f>Table_SourceData_Scope3_Feed[[#This Row],[Region of origin]]</f>
        <v>Australia</v>
      </c>
    </row>
    <row r="119" spans="1:17" ht="20.100000000000001" customHeight="1" x14ac:dyDescent="0.2">
      <c r="D119" s="19" t="str" cm="1">
        <f t="array" ref="D119">Common_InputFunctions.Utility_DisplayArrayInTable(Scope3_SourceData.Scope3_Feed_Data(), Table_SourceData_Scope3_Feed[[#Headers],[Category]], -1, 2)</f>
        <v>Hay</v>
      </c>
      <c r="E119" s="19" t="str" cm="1">
        <f t="array" ref="E119">Common_InputFunctions.Utility_DisplayArrayInTable(Scope3_SourceData.Scope3_Feed_Data(), Table_SourceData_Scope3_Feed[[#Headers],[Category]], -1, 2)</f>
        <v>Cereal hay</v>
      </c>
      <c r="F119" s="19" t="str" cm="1">
        <f t="array" ref="F119">Common_InputFunctions.Utility_DisplayArrayInTable(Scope3_SourceData.Scope3_Feed_Data(), Table_SourceData_Scope3_Feed[[#Headers],[Category]], -1, 2)</f>
        <v>NSW</v>
      </c>
      <c r="G119" s="19" t="str" cm="1">
        <f t="array" ref="G119">Common_InputFunctions.Utility_DisplayArrayInTable(Scope3_SourceData.Scope3_Feed_Data(), Table_SourceData_Scope3_Feed[[#Headers],[Category]], -1, 2)</f>
        <v>kg</v>
      </c>
      <c r="H119" s="19" cm="1">
        <f t="array" ref="H119">Common_InputFunctions.Utility_DisplayArrayInTable(Scope3_SourceData.Scope3_Feed_Data(), Table_SourceData_Scope3_Feed[[#Headers],[Category]], -1, 2)</f>
        <v>0.11600000000000001</v>
      </c>
      <c r="I119" s="19" t="str" cm="1">
        <f t="array" ref="I119">Common_InputFunctions.Utility_DisplayArrayInTable(Scope3_SourceData.Scope3_Feed_Data(), Table_SourceData_Scope3_Feed[[#Headers],[Category]], -1, 2)</f>
        <v>at market</v>
      </c>
      <c r="J119" s="19" t="s">
        <v>1169</v>
      </c>
      <c r="O119" s="19" t="str">
        <f>Table_SourceData_Scope3_Feed[[#This Row],[Product]]</f>
        <v>Cereal hay</v>
      </c>
      <c r="P119" s="19" t="str">
        <f>Table_SourceData_Scope3_Feed[[#This Row],[Region of origin]]</f>
        <v>NSW</v>
      </c>
    </row>
    <row r="120" spans="1:17" ht="20.100000000000001" customHeight="1" x14ac:dyDescent="0.2">
      <c r="D120" s="19" t="str" cm="1">
        <f t="array" ref="D120">Common_InputFunctions.Utility_DisplayArrayInTable(Scope3_SourceData.Scope3_Feed_Data(), Table_SourceData_Scope3_Feed[[#Headers],[Category]], -1, 2)</f>
        <v>Hay</v>
      </c>
      <c r="E120" s="19" t="str" cm="1">
        <f t="array" ref="E120">Common_InputFunctions.Utility_DisplayArrayInTable(Scope3_SourceData.Scope3_Feed_Data(), Table_SourceData_Scope3_Feed[[#Headers],[Category]], -1, 2)</f>
        <v>Cereal hay</v>
      </c>
      <c r="F120" s="19" t="str" cm="1">
        <f t="array" ref="F120">Common_InputFunctions.Utility_DisplayArrayInTable(Scope3_SourceData.Scope3_Feed_Data(), Table_SourceData_Scope3_Feed[[#Headers],[Category]], -1, 2)</f>
        <v>QLD</v>
      </c>
      <c r="G120" s="19" t="str" cm="1">
        <f t="array" ref="G120">Common_InputFunctions.Utility_DisplayArrayInTable(Scope3_SourceData.Scope3_Feed_Data(), Table_SourceData_Scope3_Feed[[#Headers],[Category]], -1, 2)</f>
        <v>kg</v>
      </c>
      <c r="H120" s="19" cm="1">
        <f t="array" ref="H120">Common_InputFunctions.Utility_DisplayArrayInTable(Scope3_SourceData.Scope3_Feed_Data(), Table_SourceData_Scope3_Feed[[#Headers],[Category]], -1, 2)</f>
        <v>0.11799999999999999</v>
      </c>
      <c r="I120" s="19" t="str" cm="1">
        <f t="array" ref="I120">Common_InputFunctions.Utility_DisplayArrayInTable(Scope3_SourceData.Scope3_Feed_Data(), Table_SourceData_Scope3_Feed[[#Headers],[Category]], -1, 2)</f>
        <v>at market</v>
      </c>
      <c r="J120" s="19" t="s">
        <v>1169</v>
      </c>
      <c r="O120" s="19" t="str">
        <f>Table_SourceData_Scope3_Feed[[#This Row],[Product]]</f>
        <v>Cereal hay</v>
      </c>
      <c r="P120" s="19" t="str">
        <f>Table_SourceData_Scope3_Feed[[#This Row],[Region of origin]]</f>
        <v>QLD</v>
      </c>
    </row>
    <row r="121" spans="1:17" ht="20.100000000000001" customHeight="1" x14ac:dyDescent="0.2">
      <c r="D121" s="19" t="str" cm="1">
        <f t="array" ref="D121">Common_InputFunctions.Utility_DisplayArrayInTable(Scope3_SourceData.Scope3_Feed_Data(), Table_SourceData_Scope3_Feed[[#Headers],[Category]], -1, 2)</f>
        <v>Hay</v>
      </c>
      <c r="E121" s="19" t="str" cm="1">
        <f t="array" ref="E121">Common_InputFunctions.Utility_DisplayArrayInTable(Scope3_SourceData.Scope3_Feed_Data(), Table_SourceData_Scope3_Feed[[#Headers],[Category]], -1, 2)</f>
        <v>Cereal hay</v>
      </c>
      <c r="F121" s="19" t="str" cm="1">
        <f t="array" ref="F121">Common_InputFunctions.Utility_DisplayArrayInTable(Scope3_SourceData.Scope3_Feed_Data(), Table_SourceData_Scope3_Feed[[#Headers],[Category]], -1, 2)</f>
        <v>SA</v>
      </c>
      <c r="G121" s="19" t="str" cm="1">
        <f t="array" ref="G121">Common_InputFunctions.Utility_DisplayArrayInTable(Scope3_SourceData.Scope3_Feed_Data(), Table_SourceData_Scope3_Feed[[#Headers],[Category]], -1, 2)</f>
        <v>kg</v>
      </c>
      <c r="H121" s="19" cm="1">
        <f t="array" ref="H121">Common_InputFunctions.Utility_DisplayArrayInTable(Scope3_SourceData.Scope3_Feed_Data(), Table_SourceData_Scope3_Feed[[#Headers],[Category]], -1, 2)</f>
        <v>0.111</v>
      </c>
      <c r="I121" s="19" t="str" cm="1">
        <f t="array" ref="I121">Common_InputFunctions.Utility_DisplayArrayInTable(Scope3_SourceData.Scope3_Feed_Data(), Table_SourceData_Scope3_Feed[[#Headers],[Category]], -1, 2)</f>
        <v>at market</v>
      </c>
      <c r="J121" s="19" t="s">
        <v>1169</v>
      </c>
      <c r="O121" s="19" t="str">
        <f>Table_SourceData_Scope3_Feed[[#This Row],[Product]]</f>
        <v>Cereal hay</v>
      </c>
      <c r="P121" s="19" t="str">
        <f>Table_SourceData_Scope3_Feed[[#This Row],[Region of origin]]</f>
        <v>SA</v>
      </c>
    </row>
    <row r="122" spans="1:17" ht="20.100000000000001" customHeight="1" x14ac:dyDescent="0.2">
      <c r="D122" s="19" t="str" cm="1">
        <f t="array" ref="D122">Common_InputFunctions.Utility_DisplayArrayInTable(Scope3_SourceData.Scope3_Feed_Data(), Table_SourceData_Scope3_Feed[[#Headers],[Category]], -1, 2)</f>
        <v>Hay</v>
      </c>
      <c r="E122" s="19" t="str" cm="1">
        <f t="array" ref="E122">Common_InputFunctions.Utility_DisplayArrayInTable(Scope3_SourceData.Scope3_Feed_Data(), Table_SourceData_Scope3_Feed[[#Headers],[Category]], -1, 2)</f>
        <v>Cereal hay</v>
      </c>
      <c r="F122" s="19" t="str" cm="1">
        <f t="array" ref="F122">Common_InputFunctions.Utility_DisplayArrayInTable(Scope3_SourceData.Scope3_Feed_Data(), Table_SourceData_Scope3_Feed[[#Headers],[Category]], -1, 2)</f>
        <v>TAS</v>
      </c>
      <c r="G122" s="19" t="str" cm="1">
        <f t="array" ref="G122">Common_InputFunctions.Utility_DisplayArrayInTable(Scope3_SourceData.Scope3_Feed_Data(), Table_SourceData_Scope3_Feed[[#Headers],[Category]], -1, 2)</f>
        <v>kg</v>
      </c>
      <c r="H122" s="19" cm="1">
        <f t="array" ref="H122">Common_InputFunctions.Utility_DisplayArrayInTable(Scope3_SourceData.Scope3_Feed_Data(), Table_SourceData_Scope3_Feed[[#Headers],[Category]], -1, 2)</f>
        <v>0.13900000000000001</v>
      </c>
      <c r="I122" s="19" t="str" cm="1">
        <f t="array" ref="I122">Common_InputFunctions.Utility_DisplayArrayInTable(Scope3_SourceData.Scope3_Feed_Data(), Table_SourceData_Scope3_Feed[[#Headers],[Category]], -1, 2)</f>
        <v>at market</v>
      </c>
      <c r="J122" s="19" t="s">
        <v>1169</v>
      </c>
      <c r="O122" s="19" t="str">
        <f>Table_SourceData_Scope3_Feed[[#This Row],[Product]]</f>
        <v>Cereal hay</v>
      </c>
      <c r="P122" s="19" t="str">
        <f>Table_SourceData_Scope3_Feed[[#This Row],[Region of origin]]</f>
        <v>TAS</v>
      </c>
    </row>
    <row r="123" spans="1:17" ht="20.100000000000001" customHeight="1" x14ac:dyDescent="0.2">
      <c r="D123" s="19" t="str" cm="1">
        <f t="array" ref="D123">Common_InputFunctions.Utility_DisplayArrayInTable(Scope3_SourceData.Scope3_Feed_Data(), Table_SourceData_Scope3_Feed[[#Headers],[Category]], -1, 2)</f>
        <v>Hay</v>
      </c>
      <c r="E123" s="19" t="str" cm="1">
        <f t="array" ref="E123">Common_InputFunctions.Utility_DisplayArrayInTable(Scope3_SourceData.Scope3_Feed_Data(), Table_SourceData_Scope3_Feed[[#Headers],[Category]], -1, 2)</f>
        <v>Cereal hay</v>
      </c>
      <c r="F123" s="19" t="str" cm="1">
        <f t="array" ref="F123">Common_InputFunctions.Utility_DisplayArrayInTable(Scope3_SourceData.Scope3_Feed_Data(), Table_SourceData_Scope3_Feed[[#Headers],[Category]], -1, 2)</f>
        <v>VIC</v>
      </c>
      <c r="G123" s="19" t="str" cm="1">
        <f t="array" ref="G123">Common_InputFunctions.Utility_DisplayArrayInTable(Scope3_SourceData.Scope3_Feed_Data(), Table_SourceData_Scope3_Feed[[#Headers],[Category]], -1, 2)</f>
        <v>kg</v>
      </c>
      <c r="H123" s="19" cm="1">
        <f t="array" ref="H123">Common_InputFunctions.Utility_DisplayArrayInTable(Scope3_SourceData.Scope3_Feed_Data(), Table_SourceData_Scope3_Feed[[#Headers],[Category]], -1, 2)</f>
        <v>0.11600000000000001</v>
      </c>
      <c r="I123" s="19" t="str" cm="1">
        <f t="array" ref="I123">Common_InputFunctions.Utility_DisplayArrayInTable(Scope3_SourceData.Scope3_Feed_Data(), Table_SourceData_Scope3_Feed[[#Headers],[Category]], -1, 2)</f>
        <v>at market</v>
      </c>
      <c r="J123" s="19" t="s">
        <v>1169</v>
      </c>
      <c r="O123" s="19" t="str">
        <f>Table_SourceData_Scope3_Feed[[#This Row],[Product]]</f>
        <v>Cereal hay</v>
      </c>
      <c r="P123" s="19" t="str">
        <f>Table_SourceData_Scope3_Feed[[#This Row],[Region of origin]]</f>
        <v>VIC</v>
      </c>
    </row>
    <row r="124" spans="1:17" ht="20.100000000000001" customHeight="1" x14ac:dyDescent="0.2">
      <c r="D124" s="19" t="str" cm="1">
        <f t="array" ref="D124">Common_InputFunctions.Utility_DisplayArrayInTable(Scope3_SourceData.Scope3_Feed_Data(), Table_SourceData_Scope3_Feed[[#Headers],[Category]], -1, 2)</f>
        <v>Hay</v>
      </c>
      <c r="E124" s="19" t="str" cm="1">
        <f t="array" ref="E124">Common_InputFunctions.Utility_DisplayArrayInTable(Scope3_SourceData.Scope3_Feed_Data(), Table_SourceData_Scope3_Feed[[#Headers],[Category]], -1, 2)</f>
        <v>Cereal hay</v>
      </c>
      <c r="F124" s="19" t="str" cm="1">
        <f t="array" ref="F124">Common_InputFunctions.Utility_DisplayArrayInTable(Scope3_SourceData.Scope3_Feed_Data(), Table_SourceData_Scope3_Feed[[#Headers],[Category]], -1, 2)</f>
        <v>WA</v>
      </c>
      <c r="G124" s="19" t="str" cm="1">
        <f t="array" ref="G124">Common_InputFunctions.Utility_DisplayArrayInTable(Scope3_SourceData.Scope3_Feed_Data(), Table_SourceData_Scope3_Feed[[#Headers],[Category]], -1, 2)</f>
        <v>kg</v>
      </c>
      <c r="H124" s="19" cm="1">
        <f t="array" ref="H124">Common_InputFunctions.Utility_DisplayArrayInTable(Scope3_SourceData.Scope3_Feed_Data(), Table_SourceData_Scope3_Feed[[#Headers],[Category]], -1, 2)</f>
        <v>0.122</v>
      </c>
      <c r="I124" s="19" t="str" cm="1">
        <f t="array" ref="I124">Common_InputFunctions.Utility_DisplayArrayInTable(Scope3_SourceData.Scope3_Feed_Data(), Table_SourceData_Scope3_Feed[[#Headers],[Category]], -1, 2)</f>
        <v>at market</v>
      </c>
      <c r="J124" s="19" t="s">
        <v>1169</v>
      </c>
      <c r="L124" s="19" t="s">
        <v>132</v>
      </c>
      <c r="M124" s="19" t="s">
        <v>1167</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
      <c r="D125" s="19" t="str" cm="1">
        <f t="array" ref="D125">Common_InputFunctions.Utility_DisplayArrayInTable(Scope3_SourceData.Scope3_Feed_Data(), Table_SourceData_Scope3_Feed[[#Headers],[Category]], -1, 2)</f>
        <v>Hay</v>
      </c>
      <c r="E125" s="19" t="str" cm="1">
        <f t="array" ref="E125">Common_InputFunctions.Utility_DisplayArrayInTable(Scope3_SourceData.Scope3_Feed_Data(), Table_SourceData_Scope3_Feed[[#Headers],[Category]], -1, 2)</f>
        <v>Cereal silage</v>
      </c>
      <c r="F125" s="19" t="str" cm="1">
        <f t="array" ref="F125">Common_InputFunctions.Utility_DisplayArrayInTable(Scope3_SourceData.Scope3_Feed_Data(), Table_SourceData_Scope3_Feed[[#Headers],[Category]], -1, 2)</f>
        <v>Australia</v>
      </c>
      <c r="G125" s="19" t="str" cm="1">
        <f t="array" ref="G125">Common_InputFunctions.Utility_DisplayArrayInTable(Scope3_SourceData.Scope3_Feed_Data(), Table_SourceData_Scope3_Feed[[#Headers],[Category]], -1, 2)</f>
        <v>kg</v>
      </c>
      <c r="H125" s="19" cm="1">
        <f t="array" ref="H125">Common_InputFunctions.Utility_DisplayArrayInTable(Scope3_SourceData.Scope3_Feed_Data(), Table_SourceData_Scope3_Feed[[#Headers],[Category]], -1, 2)</f>
        <v>7.4399999999999994E-2</v>
      </c>
      <c r="I125" s="19" t="str" cm="1">
        <f t="array" ref="I125">Common_InputFunctions.Utility_DisplayArrayInTable(Scope3_SourceData.Scope3_Feed_Data(), Table_SourceData_Scope3_Feed[[#Headers],[Category]], -1, 2)</f>
        <v>at market</v>
      </c>
      <c r="J125" s="19" t="s">
        <v>1169</v>
      </c>
      <c r="L125" s="19" t="str">
        <f>Table_SourceData_Scope3_Feed[[#This Row],[Product]]</f>
        <v>Cereal silage</v>
      </c>
      <c r="M125" s="19" t="str">
        <f>Table_SourceData_Scope3_Feed[[#This Row],[Region of origin]]</f>
        <v>Australia</v>
      </c>
    </row>
    <row r="126" spans="1:17" ht="20.100000000000001" customHeight="1" x14ac:dyDescent="0.2">
      <c r="D126" s="19" t="str" cm="1">
        <f t="array" ref="D126">Common_InputFunctions.Utility_DisplayArrayInTable(Scope3_SourceData.Scope3_Feed_Data(), Table_SourceData_Scope3_Feed[[#Headers],[Category]], -1, 2)</f>
        <v>Hay</v>
      </c>
      <c r="E126" s="19" t="str" cm="1">
        <f t="array" ref="E126">Common_InputFunctions.Utility_DisplayArrayInTable(Scope3_SourceData.Scope3_Feed_Data(), Table_SourceData_Scope3_Feed[[#Headers],[Category]], -1, 2)</f>
        <v>Cereal silage</v>
      </c>
      <c r="F126" s="19" t="str" cm="1">
        <f t="array" ref="F126">Common_InputFunctions.Utility_DisplayArrayInTable(Scope3_SourceData.Scope3_Feed_Data(), Table_SourceData_Scope3_Feed[[#Headers],[Category]], -1, 2)</f>
        <v>NSW</v>
      </c>
      <c r="G126" s="19" t="str" cm="1">
        <f t="array" ref="G126">Common_InputFunctions.Utility_DisplayArrayInTable(Scope3_SourceData.Scope3_Feed_Data(), Table_SourceData_Scope3_Feed[[#Headers],[Category]], -1, 2)</f>
        <v>kg</v>
      </c>
      <c r="H126" s="19" cm="1">
        <f t="array" ref="H126">Common_InputFunctions.Utility_DisplayArrayInTable(Scope3_SourceData.Scope3_Feed_Data(), Table_SourceData_Scope3_Feed[[#Headers],[Category]], -1, 2)</f>
        <v>7.3899999999999993E-2</v>
      </c>
      <c r="I126" s="19" t="str" cm="1">
        <f t="array" ref="I126">Common_InputFunctions.Utility_DisplayArrayInTable(Scope3_SourceData.Scope3_Feed_Data(), Table_SourceData_Scope3_Feed[[#Headers],[Category]], -1, 2)</f>
        <v>at market</v>
      </c>
      <c r="J126" s="19" t="s">
        <v>1169</v>
      </c>
      <c r="L126" s="19" t="str">
        <f>Table_SourceData_Scope3_Feed[[#This Row],[Product]]</f>
        <v>Cereal silage</v>
      </c>
      <c r="M126" s="19" t="str">
        <f>Table_SourceData_Scope3_Feed[[#This Row],[Region of origin]]</f>
        <v>NSW</v>
      </c>
    </row>
    <row r="127" spans="1:17" ht="20.100000000000001" customHeight="1" x14ac:dyDescent="0.2">
      <c r="D127" s="19" t="str" cm="1">
        <f t="array" ref="D127">Common_InputFunctions.Utility_DisplayArrayInTable(Scope3_SourceData.Scope3_Feed_Data(), Table_SourceData_Scope3_Feed[[#Headers],[Category]], -1, 2)</f>
        <v>Hay</v>
      </c>
      <c r="E127" s="19" t="str" cm="1">
        <f t="array" ref="E127">Common_InputFunctions.Utility_DisplayArrayInTable(Scope3_SourceData.Scope3_Feed_Data(), Table_SourceData_Scope3_Feed[[#Headers],[Category]], -1, 2)</f>
        <v>Cereal silage</v>
      </c>
      <c r="F127" s="19" t="str" cm="1">
        <f t="array" ref="F127">Common_InputFunctions.Utility_DisplayArrayInTable(Scope3_SourceData.Scope3_Feed_Data(), Table_SourceData_Scope3_Feed[[#Headers],[Category]], -1, 2)</f>
        <v>QLD</v>
      </c>
      <c r="G127" s="19" t="str" cm="1">
        <f t="array" ref="G127">Common_InputFunctions.Utility_DisplayArrayInTable(Scope3_SourceData.Scope3_Feed_Data(), Table_SourceData_Scope3_Feed[[#Headers],[Category]], -1, 2)</f>
        <v>kg</v>
      </c>
      <c r="H127" s="19" cm="1">
        <f t="array" ref="H127">Common_InputFunctions.Utility_DisplayArrayInTable(Scope3_SourceData.Scope3_Feed_Data(), Table_SourceData_Scope3_Feed[[#Headers],[Category]], -1, 2)</f>
        <v>7.9000000000000001E-2</v>
      </c>
      <c r="I127" s="19" t="str" cm="1">
        <f t="array" ref="I127">Common_InputFunctions.Utility_DisplayArrayInTable(Scope3_SourceData.Scope3_Feed_Data(), Table_SourceData_Scope3_Feed[[#Headers],[Category]], -1, 2)</f>
        <v>at market</v>
      </c>
      <c r="J127" s="19" t="s">
        <v>1169</v>
      </c>
      <c r="L127" s="19" t="str">
        <f>Table_SourceData_Scope3_Feed[[#This Row],[Product]]</f>
        <v>Cereal silage</v>
      </c>
      <c r="M127" s="19" t="str">
        <f>Table_SourceData_Scope3_Feed[[#This Row],[Region of origin]]</f>
        <v>QLD</v>
      </c>
    </row>
    <row r="128" spans="1:17" ht="20.100000000000001" customHeight="1" x14ac:dyDescent="0.2">
      <c r="A128" s="79" t="str">
        <f>HYPERLINK("#A1", "▲ Back to top")</f>
        <v>▲ Back to top</v>
      </c>
      <c r="D128" s="19" t="str" cm="1">
        <f t="array" ref="D128">Common_InputFunctions.Utility_DisplayArrayInTable(Scope3_SourceData.Scope3_Feed_Data(), Table_SourceData_Scope3_Feed[[#Headers],[Category]], -1, 2)</f>
        <v>Hay</v>
      </c>
      <c r="E128" s="19" t="str" cm="1">
        <f t="array" ref="E128">Common_InputFunctions.Utility_DisplayArrayInTable(Scope3_SourceData.Scope3_Feed_Data(), Table_SourceData_Scope3_Feed[[#Headers],[Category]], -1, 2)</f>
        <v>Cereal silage</v>
      </c>
      <c r="F128" s="19" t="str" cm="1">
        <f t="array" ref="F128">Common_InputFunctions.Utility_DisplayArrayInTable(Scope3_SourceData.Scope3_Feed_Data(), Table_SourceData_Scope3_Feed[[#Headers],[Category]], -1, 2)</f>
        <v>SA</v>
      </c>
      <c r="G128" s="19" t="str" cm="1">
        <f t="array" ref="G128">Common_InputFunctions.Utility_DisplayArrayInTable(Scope3_SourceData.Scope3_Feed_Data(), Table_SourceData_Scope3_Feed[[#Headers],[Category]], -1, 2)</f>
        <v>kg</v>
      </c>
      <c r="H128" s="19" cm="1">
        <f t="array" ref="H128">Common_InputFunctions.Utility_DisplayArrayInTable(Scope3_SourceData.Scope3_Feed_Data(), Table_SourceData_Scope3_Feed[[#Headers],[Category]], -1, 2)</f>
        <v>7.0599999999999996E-2</v>
      </c>
      <c r="I128" s="19" t="str" cm="1">
        <f t="array" ref="I128">Common_InputFunctions.Utility_DisplayArrayInTable(Scope3_SourceData.Scope3_Feed_Data(), Table_SourceData_Scope3_Feed[[#Headers],[Category]], -1, 2)</f>
        <v>at market</v>
      </c>
      <c r="J128" s="19" t="s">
        <v>1169</v>
      </c>
      <c r="L128" s="19" t="str">
        <f>Table_SourceData_Scope3_Feed[[#This Row],[Product]]</f>
        <v>Cereal silage</v>
      </c>
      <c r="M128" s="19" t="str">
        <f>Table_SourceData_Scope3_Feed[[#This Row],[Region of origin]]</f>
        <v>SA</v>
      </c>
    </row>
    <row r="129" spans="4:17" ht="20.100000000000001" customHeight="1" x14ac:dyDescent="0.2">
      <c r="D129" s="19" t="str" cm="1">
        <f t="array" ref="D129">Common_InputFunctions.Utility_DisplayArrayInTable(Scope3_SourceData.Scope3_Feed_Data(), Table_SourceData_Scope3_Feed[[#Headers],[Category]], -1, 2)</f>
        <v>Hay</v>
      </c>
      <c r="E129" s="19" t="str" cm="1">
        <f t="array" ref="E129">Common_InputFunctions.Utility_DisplayArrayInTable(Scope3_SourceData.Scope3_Feed_Data(), Table_SourceData_Scope3_Feed[[#Headers],[Category]], -1, 2)</f>
        <v>Cereal silage</v>
      </c>
      <c r="F129" s="19" t="str" cm="1">
        <f t="array" ref="F129">Common_InputFunctions.Utility_DisplayArrayInTable(Scope3_SourceData.Scope3_Feed_Data(), Table_SourceData_Scope3_Feed[[#Headers],[Category]], -1, 2)</f>
        <v>TAS</v>
      </c>
      <c r="G129" s="19" t="str" cm="1">
        <f t="array" ref="G129">Common_InputFunctions.Utility_DisplayArrayInTable(Scope3_SourceData.Scope3_Feed_Data(), Table_SourceData_Scope3_Feed[[#Headers],[Category]], -1, 2)</f>
        <v>kg</v>
      </c>
      <c r="H129" s="19" cm="1">
        <f t="array" ref="H129">Common_InputFunctions.Utility_DisplayArrayInTable(Scope3_SourceData.Scope3_Feed_Data(), Table_SourceData_Scope3_Feed[[#Headers],[Category]], -1, 2)</f>
        <v>8.0799999999999997E-2</v>
      </c>
      <c r="I129" s="19" t="str" cm="1">
        <f t="array" ref="I129">Common_InputFunctions.Utility_DisplayArrayInTable(Scope3_SourceData.Scope3_Feed_Data(), Table_SourceData_Scope3_Feed[[#Headers],[Category]], -1, 2)</f>
        <v>at market</v>
      </c>
      <c r="J129" s="19" t="s">
        <v>1169</v>
      </c>
      <c r="L129" s="19" t="str">
        <f>Table_SourceData_Scope3_Feed[[#This Row],[Product]]</f>
        <v>Cereal silage</v>
      </c>
      <c r="M129" s="19" t="str">
        <f>Table_SourceData_Scope3_Feed[[#This Row],[Region of origin]]</f>
        <v>TAS</v>
      </c>
    </row>
    <row r="130" spans="4:17" ht="20.100000000000001" customHeight="1" x14ac:dyDescent="0.2">
      <c r="D130" s="19" t="str" cm="1">
        <f t="array" ref="D130">Common_InputFunctions.Utility_DisplayArrayInTable(Scope3_SourceData.Scope3_Feed_Data(), Table_SourceData_Scope3_Feed[[#Headers],[Category]], -1, 2)</f>
        <v>Hay</v>
      </c>
      <c r="E130" s="19" t="str" cm="1">
        <f t="array" ref="E130">Common_InputFunctions.Utility_DisplayArrayInTable(Scope3_SourceData.Scope3_Feed_Data(), Table_SourceData_Scope3_Feed[[#Headers],[Category]], -1, 2)</f>
        <v>Cereal silage</v>
      </c>
      <c r="F130" s="19" t="str" cm="1">
        <f t="array" ref="F130">Common_InputFunctions.Utility_DisplayArrayInTable(Scope3_SourceData.Scope3_Feed_Data(), Table_SourceData_Scope3_Feed[[#Headers],[Category]], -1, 2)</f>
        <v>VIC</v>
      </c>
      <c r="G130" s="19" t="str" cm="1">
        <f t="array" ref="G130">Common_InputFunctions.Utility_DisplayArrayInTable(Scope3_SourceData.Scope3_Feed_Data(), Table_SourceData_Scope3_Feed[[#Headers],[Category]], -1, 2)</f>
        <v>kg</v>
      </c>
      <c r="H130" s="19" cm="1">
        <f t="array" ref="H130">Common_InputFunctions.Utility_DisplayArrayInTable(Scope3_SourceData.Scope3_Feed_Data(), Table_SourceData_Scope3_Feed[[#Headers],[Category]], -1, 2)</f>
        <v>7.3599999999999999E-2</v>
      </c>
      <c r="I130" s="19" t="str" cm="1">
        <f t="array" ref="I130">Common_InputFunctions.Utility_DisplayArrayInTable(Scope3_SourceData.Scope3_Feed_Data(), Table_SourceData_Scope3_Feed[[#Headers],[Category]], -1, 2)</f>
        <v>at market</v>
      </c>
      <c r="J130" s="19" t="s">
        <v>1169</v>
      </c>
      <c r="L130" s="19" t="str">
        <f>Table_SourceData_Scope3_Feed[[#This Row],[Product]]</f>
        <v>Cereal silage</v>
      </c>
      <c r="M130" s="19" t="str">
        <f>Table_SourceData_Scope3_Feed[[#This Row],[Region of origin]]</f>
        <v>VIC</v>
      </c>
      <c r="O130" s="19" t="s">
        <v>132</v>
      </c>
      <c r="P130" s="19" t="s">
        <v>1167</v>
      </c>
      <c r="Q130" s="1" t="str">
        <f>"Table_ProductRegions_" &amp; SUBSTITUTE(SUBSTITUTE(SUBSTITUTE(SUBSTITUTE(O131, " ", ""), ",", ""), "(", ""), ")", "")</f>
        <v>Table_ProductRegions_Lucernehay</v>
      </c>
    </row>
    <row r="131" spans="4:17" ht="20.100000000000001" customHeight="1" x14ac:dyDescent="0.2">
      <c r="D131" s="19" t="str" cm="1">
        <f t="array" ref="D131">Common_InputFunctions.Utility_DisplayArrayInTable(Scope3_SourceData.Scope3_Feed_Data(), Table_SourceData_Scope3_Feed[[#Headers],[Category]], -1, 2)</f>
        <v>Hay</v>
      </c>
      <c r="E131" s="19" t="str" cm="1">
        <f t="array" ref="E131">Common_InputFunctions.Utility_DisplayArrayInTable(Scope3_SourceData.Scope3_Feed_Data(), Table_SourceData_Scope3_Feed[[#Headers],[Category]], -1, 2)</f>
        <v>Lucerne hay</v>
      </c>
      <c r="F131" s="19" t="str" cm="1">
        <f t="array" ref="F131">Common_InputFunctions.Utility_DisplayArrayInTable(Scope3_SourceData.Scope3_Feed_Data(), Table_SourceData_Scope3_Feed[[#Headers],[Category]], -1, 2)</f>
        <v>Australia</v>
      </c>
      <c r="G131" s="19" t="str" cm="1">
        <f t="array" ref="G131">Common_InputFunctions.Utility_DisplayArrayInTable(Scope3_SourceData.Scope3_Feed_Data(), Table_SourceData_Scope3_Feed[[#Headers],[Category]], -1, 2)</f>
        <v>kg</v>
      </c>
      <c r="H131" s="19" cm="1">
        <f t="array" ref="H131">Common_InputFunctions.Utility_DisplayArrayInTable(Scope3_SourceData.Scope3_Feed_Data(), Table_SourceData_Scope3_Feed[[#Headers],[Category]], -1, 2)</f>
        <v>0.11700000000000001</v>
      </c>
      <c r="I131" s="19" t="str" cm="1">
        <f t="array" ref="I131">Common_InputFunctions.Utility_DisplayArrayInTable(Scope3_SourceData.Scope3_Feed_Data(), Table_SourceData_Scope3_Feed[[#Headers],[Category]], -1, 2)</f>
        <v>at market</v>
      </c>
      <c r="J131" s="19" t="s">
        <v>1169</v>
      </c>
      <c r="O131" s="19" t="str">
        <f>Table_SourceData_Scope3_Feed[[#This Row],[Product]]</f>
        <v>Lucerne hay</v>
      </c>
      <c r="P131" s="19" t="str">
        <f>Table_SourceData_Scope3_Feed[[#This Row],[Region of origin]]</f>
        <v>Australia</v>
      </c>
    </row>
    <row r="132" spans="4:17" ht="20.100000000000001" customHeight="1" x14ac:dyDescent="0.2">
      <c r="D132" s="19" t="str" cm="1">
        <f t="array" ref="D132">Common_InputFunctions.Utility_DisplayArrayInTable(Scope3_SourceData.Scope3_Feed_Data(), Table_SourceData_Scope3_Feed[[#Headers],[Category]], -1, 2)</f>
        <v>Hay</v>
      </c>
      <c r="E132" s="19" t="str" cm="1">
        <f t="array" ref="E132">Common_InputFunctions.Utility_DisplayArrayInTable(Scope3_SourceData.Scope3_Feed_Data(), Table_SourceData_Scope3_Feed[[#Headers],[Category]], -1, 2)</f>
        <v>Lucerne hay</v>
      </c>
      <c r="F132" s="19" t="str" cm="1">
        <f t="array" ref="F132">Common_InputFunctions.Utility_DisplayArrayInTable(Scope3_SourceData.Scope3_Feed_Data(), Table_SourceData_Scope3_Feed[[#Headers],[Category]], -1, 2)</f>
        <v>NSW</v>
      </c>
      <c r="G132" s="19" t="str" cm="1">
        <f t="array" ref="G132">Common_InputFunctions.Utility_DisplayArrayInTable(Scope3_SourceData.Scope3_Feed_Data(), Table_SourceData_Scope3_Feed[[#Headers],[Category]], -1, 2)</f>
        <v>kg</v>
      </c>
      <c r="H132" s="19" cm="1">
        <f t="array" ref="H132">Common_InputFunctions.Utility_DisplayArrayInTable(Scope3_SourceData.Scope3_Feed_Data(), Table_SourceData_Scope3_Feed[[#Headers],[Category]], -1, 2)</f>
        <v>0.113</v>
      </c>
      <c r="I132" s="19" t="str" cm="1">
        <f t="array" ref="I132">Common_InputFunctions.Utility_DisplayArrayInTable(Scope3_SourceData.Scope3_Feed_Data(), Table_SourceData_Scope3_Feed[[#Headers],[Category]], -1, 2)</f>
        <v>at market</v>
      </c>
      <c r="J132" s="19" t="s">
        <v>1169</v>
      </c>
      <c r="O132" s="19" t="str">
        <f>Table_SourceData_Scope3_Feed[[#This Row],[Product]]</f>
        <v>Lucerne hay</v>
      </c>
      <c r="P132" s="19" t="str">
        <f>Table_SourceData_Scope3_Feed[[#This Row],[Region of origin]]</f>
        <v>NSW</v>
      </c>
    </row>
    <row r="133" spans="4:17" ht="20.100000000000001" customHeight="1" x14ac:dyDescent="0.2">
      <c r="D133" s="19" t="str" cm="1">
        <f t="array" ref="D133">Common_InputFunctions.Utility_DisplayArrayInTable(Scope3_SourceData.Scope3_Feed_Data(), Table_SourceData_Scope3_Feed[[#Headers],[Category]], -1, 2)</f>
        <v>Hay</v>
      </c>
      <c r="E133" s="19" t="str" cm="1">
        <f t="array" ref="E133">Common_InputFunctions.Utility_DisplayArrayInTable(Scope3_SourceData.Scope3_Feed_Data(), Table_SourceData_Scope3_Feed[[#Headers],[Category]], -1, 2)</f>
        <v>Lucerne hay</v>
      </c>
      <c r="F133" s="19" t="str" cm="1">
        <f t="array" ref="F133">Common_InputFunctions.Utility_DisplayArrayInTable(Scope3_SourceData.Scope3_Feed_Data(), Table_SourceData_Scope3_Feed[[#Headers],[Category]], -1, 2)</f>
        <v>QLD</v>
      </c>
      <c r="G133" s="19" t="str" cm="1">
        <f t="array" ref="G133">Common_InputFunctions.Utility_DisplayArrayInTable(Scope3_SourceData.Scope3_Feed_Data(), Table_SourceData_Scope3_Feed[[#Headers],[Category]], -1, 2)</f>
        <v>kg</v>
      </c>
      <c r="H133" s="19" cm="1">
        <f t="array" ref="H133">Common_InputFunctions.Utility_DisplayArrayInTable(Scope3_SourceData.Scope3_Feed_Data(), Table_SourceData_Scope3_Feed[[#Headers],[Category]], -1, 2)</f>
        <v>0.14299999999999999</v>
      </c>
      <c r="I133" s="19" t="str" cm="1">
        <f t="array" ref="I133">Common_InputFunctions.Utility_DisplayArrayInTable(Scope3_SourceData.Scope3_Feed_Data(), Table_SourceData_Scope3_Feed[[#Headers],[Category]], -1, 2)</f>
        <v>at market</v>
      </c>
      <c r="J133" s="19" t="s">
        <v>1169</v>
      </c>
      <c r="O133" s="19" t="str">
        <f>Table_SourceData_Scope3_Feed[[#This Row],[Product]]</f>
        <v>Lucerne hay</v>
      </c>
      <c r="P133" s="19" t="str">
        <f>Table_SourceData_Scope3_Feed[[#This Row],[Region of origin]]</f>
        <v>QLD</v>
      </c>
    </row>
    <row r="134" spans="4:17" ht="20.100000000000001" customHeight="1" x14ac:dyDescent="0.2">
      <c r="D134" s="19" t="str" cm="1">
        <f t="array" ref="D134">Common_InputFunctions.Utility_DisplayArrayInTable(Scope3_SourceData.Scope3_Feed_Data(), Table_SourceData_Scope3_Feed[[#Headers],[Category]], -1, 2)</f>
        <v>Hay</v>
      </c>
      <c r="E134" s="19" t="str" cm="1">
        <f t="array" ref="E134">Common_InputFunctions.Utility_DisplayArrayInTable(Scope3_SourceData.Scope3_Feed_Data(), Table_SourceData_Scope3_Feed[[#Headers],[Category]], -1, 2)</f>
        <v>Lucerne hay</v>
      </c>
      <c r="F134" s="19" t="str" cm="1">
        <f t="array" ref="F134">Common_InputFunctions.Utility_DisplayArrayInTable(Scope3_SourceData.Scope3_Feed_Data(), Table_SourceData_Scope3_Feed[[#Headers],[Category]], -1, 2)</f>
        <v>SA</v>
      </c>
      <c r="G134" s="19" t="str" cm="1">
        <f t="array" ref="G134">Common_InputFunctions.Utility_DisplayArrayInTable(Scope3_SourceData.Scope3_Feed_Data(), Table_SourceData_Scope3_Feed[[#Headers],[Category]], -1, 2)</f>
        <v>kg</v>
      </c>
      <c r="H134" s="19" cm="1">
        <f t="array" ref="H134">Common_InputFunctions.Utility_DisplayArrayInTable(Scope3_SourceData.Scope3_Feed_Data(), Table_SourceData_Scope3_Feed[[#Headers],[Category]], -1, 2)</f>
        <v>0.106</v>
      </c>
      <c r="I134" s="19" t="str" cm="1">
        <f t="array" ref="I134">Common_InputFunctions.Utility_DisplayArrayInTable(Scope3_SourceData.Scope3_Feed_Data(), Table_SourceData_Scope3_Feed[[#Headers],[Category]], -1, 2)</f>
        <v>at market</v>
      </c>
      <c r="J134" s="19" t="s">
        <v>1169</v>
      </c>
      <c r="O134" s="19" t="str">
        <f>Table_SourceData_Scope3_Feed[[#This Row],[Product]]</f>
        <v>Lucerne hay</v>
      </c>
      <c r="P134" s="19" t="str">
        <f>Table_SourceData_Scope3_Feed[[#This Row],[Region of origin]]</f>
        <v>SA</v>
      </c>
    </row>
    <row r="135" spans="4:17" ht="20.100000000000001" customHeight="1" x14ac:dyDescent="0.2">
      <c r="D135" s="19" t="str" cm="1">
        <f t="array" ref="D135">Common_InputFunctions.Utility_DisplayArrayInTable(Scope3_SourceData.Scope3_Feed_Data(), Table_SourceData_Scope3_Feed[[#Headers],[Category]], -1, 2)</f>
        <v>Hay</v>
      </c>
      <c r="E135" s="19" t="str" cm="1">
        <f t="array" ref="E135">Common_InputFunctions.Utility_DisplayArrayInTable(Scope3_SourceData.Scope3_Feed_Data(), Table_SourceData_Scope3_Feed[[#Headers],[Category]], -1, 2)</f>
        <v>Lucerne hay</v>
      </c>
      <c r="F135" s="19" t="str" cm="1">
        <f t="array" ref="F135">Common_InputFunctions.Utility_DisplayArrayInTable(Scope3_SourceData.Scope3_Feed_Data(), Table_SourceData_Scope3_Feed[[#Headers],[Category]], -1, 2)</f>
        <v>TAS</v>
      </c>
      <c r="G135" s="19" t="str" cm="1">
        <f t="array" ref="G135">Common_InputFunctions.Utility_DisplayArrayInTable(Scope3_SourceData.Scope3_Feed_Data(), Table_SourceData_Scope3_Feed[[#Headers],[Category]], -1, 2)</f>
        <v>kg</v>
      </c>
      <c r="H135" s="19" cm="1">
        <f t="array" ref="H135">Common_InputFunctions.Utility_DisplayArrayInTable(Scope3_SourceData.Scope3_Feed_Data(), Table_SourceData_Scope3_Feed[[#Headers],[Category]], -1, 2)</f>
        <v>0.113</v>
      </c>
      <c r="I135" s="19" t="str" cm="1">
        <f t="array" ref="I135">Common_InputFunctions.Utility_DisplayArrayInTable(Scope3_SourceData.Scope3_Feed_Data(), Table_SourceData_Scope3_Feed[[#Headers],[Category]], -1, 2)</f>
        <v>at market</v>
      </c>
      <c r="J135" s="19" t="s">
        <v>1169</v>
      </c>
      <c r="O135" s="19" t="str">
        <f>Table_SourceData_Scope3_Feed[[#This Row],[Product]]</f>
        <v>Lucerne hay</v>
      </c>
      <c r="P135" s="19" t="str">
        <f>Table_SourceData_Scope3_Feed[[#This Row],[Region of origin]]</f>
        <v>TAS</v>
      </c>
    </row>
    <row r="136" spans="4:17" ht="20.100000000000001" customHeight="1" x14ac:dyDescent="0.2">
      <c r="D136" s="19" t="str" cm="1">
        <f t="array" ref="D136">Common_InputFunctions.Utility_DisplayArrayInTable(Scope3_SourceData.Scope3_Feed_Data(), Table_SourceData_Scope3_Feed[[#Headers],[Category]], -1, 2)</f>
        <v>Hay</v>
      </c>
      <c r="E136" s="19" t="str" cm="1">
        <f t="array" ref="E136">Common_InputFunctions.Utility_DisplayArrayInTable(Scope3_SourceData.Scope3_Feed_Data(), Table_SourceData_Scope3_Feed[[#Headers],[Category]], -1, 2)</f>
        <v>Lucerne hay</v>
      </c>
      <c r="F136" s="19" t="str" cm="1">
        <f t="array" ref="F136">Common_InputFunctions.Utility_DisplayArrayInTable(Scope3_SourceData.Scope3_Feed_Data(), Table_SourceData_Scope3_Feed[[#Headers],[Category]], -1, 2)</f>
        <v>VIC</v>
      </c>
      <c r="G136" s="19" t="str" cm="1">
        <f t="array" ref="G136">Common_InputFunctions.Utility_DisplayArrayInTable(Scope3_SourceData.Scope3_Feed_Data(), Table_SourceData_Scope3_Feed[[#Headers],[Category]], -1, 2)</f>
        <v>kg</v>
      </c>
      <c r="H136" s="19" cm="1">
        <f t="array" ref="H136">Common_InputFunctions.Utility_DisplayArrayInTable(Scope3_SourceData.Scope3_Feed_Data(), Table_SourceData_Scope3_Feed[[#Headers],[Category]], -1, 2)</f>
        <v>0.106</v>
      </c>
      <c r="I136" s="19" t="str" cm="1">
        <f t="array" ref="I136">Common_InputFunctions.Utility_DisplayArrayInTable(Scope3_SourceData.Scope3_Feed_Data(), Table_SourceData_Scope3_Feed[[#Headers],[Category]], -1, 2)</f>
        <v>at market</v>
      </c>
      <c r="J136" s="19" t="s">
        <v>1169</v>
      </c>
      <c r="O136" s="19" t="str">
        <f>Table_SourceData_Scope3_Feed[[#This Row],[Product]]</f>
        <v>Lucerne hay</v>
      </c>
      <c r="P136" s="19" t="str">
        <f>Table_SourceData_Scope3_Feed[[#This Row],[Region of origin]]</f>
        <v>VIC</v>
      </c>
    </row>
    <row r="137" spans="4:17" ht="20.100000000000001" customHeight="1" x14ac:dyDescent="0.2">
      <c r="D137" s="19" t="str" cm="1">
        <f t="array" ref="D137">Common_InputFunctions.Utility_DisplayArrayInTable(Scope3_SourceData.Scope3_Feed_Data(), Table_SourceData_Scope3_Feed[[#Headers],[Category]], -1, 2)</f>
        <v>Hay</v>
      </c>
      <c r="E137" s="19" t="str" cm="1">
        <f t="array" ref="E137">Common_InputFunctions.Utility_DisplayArrayInTable(Scope3_SourceData.Scope3_Feed_Data(), Table_SourceData_Scope3_Feed[[#Headers],[Category]], -1, 2)</f>
        <v>Maize silage</v>
      </c>
      <c r="F137" s="19" t="str" cm="1">
        <f t="array" ref="F137">Common_InputFunctions.Utility_DisplayArrayInTable(Scope3_SourceData.Scope3_Feed_Data(), Table_SourceData_Scope3_Feed[[#Headers],[Category]], -1, 2)</f>
        <v>VIC</v>
      </c>
      <c r="G137" s="19" t="str" cm="1">
        <f t="array" ref="G137">Common_InputFunctions.Utility_DisplayArrayInTable(Scope3_SourceData.Scope3_Feed_Data(), Table_SourceData_Scope3_Feed[[#Headers],[Category]], -1, 2)</f>
        <v>kg</v>
      </c>
      <c r="H137" s="19" cm="1">
        <f t="array" ref="H137">Common_InputFunctions.Utility_DisplayArrayInTable(Scope3_SourceData.Scope3_Feed_Data(), Table_SourceData_Scope3_Feed[[#Headers],[Category]], -1, 2)</f>
        <v>0.16300000000000001</v>
      </c>
      <c r="I137" s="19" t="str" cm="1">
        <f t="array" ref="I137">Common_InputFunctions.Utility_DisplayArrayInTable(Scope3_SourceData.Scope3_Feed_Data(), Table_SourceData_Scope3_Feed[[#Headers],[Category]], -1, 2)</f>
        <v>at market</v>
      </c>
      <c r="J137" s="19" t="s">
        <v>1169</v>
      </c>
      <c r="L137" s="19" t="s">
        <v>132</v>
      </c>
      <c r="M137" s="19" t="s">
        <v>1167</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4:17" ht="20.100000000000001" customHeight="1" x14ac:dyDescent="0.2">
      <c r="D138" s="19" t="str" cm="1">
        <f t="array" ref="D138">Common_InputFunctions.Utility_DisplayArrayInTable(Scope3_SourceData.Scope3_Feed_Data(), Table_SourceData_Scope3_Feed[[#Headers],[Category]], -1, 2)</f>
        <v>Hay</v>
      </c>
      <c r="E138" s="19" t="str" cm="1">
        <f t="array" ref="E138">Common_InputFunctions.Utility_DisplayArrayInTable(Scope3_SourceData.Scope3_Feed_Data(), Table_SourceData_Scope3_Feed[[#Headers],[Category]], -1, 2)</f>
        <v>Oaten hay</v>
      </c>
      <c r="F138" s="19" t="str" cm="1">
        <f t="array" ref="F138">Common_InputFunctions.Utility_DisplayArrayInTable(Scope3_SourceData.Scope3_Feed_Data(), Table_SourceData_Scope3_Feed[[#Headers],[Category]], -1, 2)</f>
        <v>Australia</v>
      </c>
      <c r="G138" s="19" t="str" cm="1">
        <f t="array" ref="G138">Common_InputFunctions.Utility_DisplayArrayInTable(Scope3_SourceData.Scope3_Feed_Data(), Table_SourceData_Scope3_Feed[[#Headers],[Category]], -1, 2)</f>
        <v>kg</v>
      </c>
      <c r="H138" s="19" cm="1">
        <f t="array" ref="H138">Common_InputFunctions.Utility_DisplayArrayInTable(Scope3_SourceData.Scope3_Feed_Data(), Table_SourceData_Scope3_Feed[[#Headers],[Category]], -1, 2)</f>
        <v>0.12</v>
      </c>
      <c r="I138" s="19" t="str" cm="1">
        <f t="array" ref="I138">Common_InputFunctions.Utility_DisplayArrayInTable(Scope3_SourceData.Scope3_Feed_Data(), Table_SourceData_Scope3_Feed[[#Headers],[Category]], -1, 2)</f>
        <v>at market</v>
      </c>
      <c r="J138" s="19" t="s">
        <v>1169</v>
      </c>
      <c r="L138" s="19" t="str">
        <f>Table_SourceData_Scope3_Feed[[#This Row],[Product]]</f>
        <v>Oaten hay</v>
      </c>
      <c r="M138" s="19" t="str">
        <f>Table_SourceData_Scope3_Feed[[#This Row],[Region of origin]]</f>
        <v>Australia</v>
      </c>
    </row>
    <row r="139" spans="4:17" ht="20.100000000000001" customHeight="1" x14ac:dyDescent="0.2">
      <c r="D139" s="19" t="str" cm="1">
        <f t="array" ref="D139">Common_InputFunctions.Utility_DisplayArrayInTable(Scope3_SourceData.Scope3_Feed_Data(), Table_SourceData_Scope3_Feed[[#Headers],[Category]], -1, 2)</f>
        <v>Hay</v>
      </c>
      <c r="E139" s="19" t="str" cm="1">
        <f t="array" ref="E139">Common_InputFunctions.Utility_DisplayArrayInTable(Scope3_SourceData.Scope3_Feed_Data(), Table_SourceData_Scope3_Feed[[#Headers],[Category]], -1, 2)</f>
        <v>Oaten hay</v>
      </c>
      <c r="F139" s="19" t="str" cm="1">
        <f t="array" ref="F139">Common_InputFunctions.Utility_DisplayArrayInTable(Scope3_SourceData.Scope3_Feed_Data(), Table_SourceData_Scope3_Feed[[#Headers],[Category]], -1, 2)</f>
        <v>NSW</v>
      </c>
      <c r="G139" s="19" t="str" cm="1">
        <f t="array" ref="G139">Common_InputFunctions.Utility_DisplayArrayInTable(Scope3_SourceData.Scope3_Feed_Data(), Table_SourceData_Scope3_Feed[[#Headers],[Category]], -1, 2)</f>
        <v>kg</v>
      </c>
      <c r="H139" s="19" cm="1">
        <f t="array" ref="H139">Common_InputFunctions.Utility_DisplayArrayInTable(Scope3_SourceData.Scope3_Feed_Data(), Table_SourceData_Scope3_Feed[[#Headers],[Category]], -1, 2)</f>
        <v>0.11899999999999999</v>
      </c>
      <c r="I139" s="19" t="str" cm="1">
        <f t="array" ref="I139">Common_InputFunctions.Utility_DisplayArrayInTable(Scope3_SourceData.Scope3_Feed_Data(), Table_SourceData_Scope3_Feed[[#Headers],[Category]], -1, 2)</f>
        <v>at market</v>
      </c>
      <c r="J139" s="19" t="s">
        <v>1169</v>
      </c>
      <c r="L139" s="19" t="str">
        <f>Table_SourceData_Scope3_Feed[[#This Row],[Product]]</f>
        <v>Oaten hay</v>
      </c>
      <c r="M139" s="19" t="str">
        <f>Table_SourceData_Scope3_Feed[[#This Row],[Region of origin]]</f>
        <v>NSW</v>
      </c>
    </row>
    <row r="140" spans="4:17" ht="20.100000000000001" customHeight="1" x14ac:dyDescent="0.2">
      <c r="D140" s="19" t="str" cm="1">
        <f t="array" ref="D140">Common_InputFunctions.Utility_DisplayArrayInTable(Scope3_SourceData.Scope3_Feed_Data(), Table_SourceData_Scope3_Feed[[#Headers],[Category]], -1, 2)</f>
        <v>Hay</v>
      </c>
      <c r="E140" s="19" t="str" cm="1">
        <f t="array" ref="E140">Common_InputFunctions.Utility_DisplayArrayInTable(Scope3_SourceData.Scope3_Feed_Data(), Table_SourceData_Scope3_Feed[[#Headers],[Category]], -1, 2)</f>
        <v>Oaten hay</v>
      </c>
      <c r="F140" s="19" t="str" cm="1">
        <f t="array" ref="F140">Common_InputFunctions.Utility_DisplayArrayInTable(Scope3_SourceData.Scope3_Feed_Data(), Table_SourceData_Scope3_Feed[[#Headers],[Category]], -1, 2)</f>
        <v>QLD</v>
      </c>
      <c r="G140" s="19" t="str" cm="1">
        <f t="array" ref="G140">Common_InputFunctions.Utility_DisplayArrayInTable(Scope3_SourceData.Scope3_Feed_Data(), Table_SourceData_Scope3_Feed[[#Headers],[Category]], -1, 2)</f>
        <v>kg</v>
      </c>
      <c r="H140" s="19" cm="1">
        <f t="array" ref="H140">Common_InputFunctions.Utility_DisplayArrayInTable(Scope3_SourceData.Scope3_Feed_Data(), Table_SourceData_Scope3_Feed[[#Headers],[Category]], -1, 2)</f>
        <v>0.11700000000000001</v>
      </c>
      <c r="I140" s="19" t="str" cm="1">
        <f t="array" ref="I140">Common_InputFunctions.Utility_DisplayArrayInTable(Scope3_SourceData.Scope3_Feed_Data(), Table_SourceData_Scope3_Feed[[#Headers],[Category]], -1, 2)</f>
        <v>at market</v>
      </c>
      <c r="J140" s="19" t="s">
        <v>1169</v>
      </c>
      <c r="L140" s="19" t="str">
        <f>Table_SourceData_Scope3_Feed[[#This Row],[Product]]</f>
        <v>Oaten hay</v>
      </c>
      <c r="M140" s="19" t="str">
        <f>Table_SourceData_Scope3_Feed[[#This Row],[Region of origin]]</f>
        <v>QLD</v>
      </c>
    </row>
    <row r="141" spans="4:17" ht="20.100000000000001" customHeight="1" x14ac:dyDescent="0.2">
      <c r="D141" s="19" t="str" cm="1">
        <f t="array" ref="D141">Common_InputFunctions.Utility_DisplayArrayInTable(Scope3_SourceData.Scope3_Feed_Data(), Table_SourceData_Scope3_Feed[[#Headers],[Category]], -1, 2)</f>
        <v>Hay</v>
      </c>
      <c r="E141" s="19" t="str" cm="1">
        <f t="array" ref="E141">Common_InputFunctions.Utility_DisplayArrayInTable(Scope3_SourceData.Scope3_Feed_Data(), Table_SourceData_Scope3_Feed[[#Headers],[Category]], -1, 2)</f>
        <v>Oaten hay</v>
      </c>
      <c r="F141" s="19" t="str" cm="1">
        <f t="array" ref="F141">Common_InputFunctions.Utility_DisplayArrayInTable(Scope3_SourceData.Scope3_Feed_Data(), Table_SourceData_Scope3_Feed[[#Headers],[Category]], -1, 2)</f>
        <v>SA</v>
      </c>
      <c r="G141" s="19" t="str" cm="1">
        <f t="array" ref="G141">Common_InputFunctions.Utility_DisplayArrayInTable(Scope3_SourceData.Scope3_Feed_Data(), Table_SourceData_Scope3_Feed[[#Headers],[Category]], -1, 2)</f>
        <v>kg</v>
      </c>
      <c r="H141" s="19" cm="1">
        <f t="array" ref="H141">Common_InputFunctions.Utility_DisplayArrayInTable(Scope3_SourceData.Scope3_Feed_Data(), Table_SourceData_Scope3_Feed[[#Headers],[Category]], -1, 2)</f>
        <v>0.114</v>
      </c>
      <c r="I141" s="19" t="str" cm="1">
        <f t="array" ref="I141">Common_InputFunctions.Utility_DisplayArrayInTable(Scope3_SourceData.Scope3_Feed_Data(), Table_SourceData_Scope3_Feed[[#Headers],[Category]], -1, 2)</f>
        <v>at market</v>
      </c>
      <c r="J141" s="19" t="s">
        <v>1169</v>
      </c>
      <c r="L141" s="19" t="str">
        <f>Table_SourceData_Scope3_Feed[[#This Row],[Product]]</f>
        <v>Oaten hay</v>
      </c>
      <c r="M141" s="19" t="str">
        <f>Table_SourceData_Scope3_Feed[[#This Row],[Region of origin]]</f>
        <v>SA</v>
      </c>
    </row>
    <row r="142" spans="4:17" ht="20.100000000000001" customHeight="1" x14ac:dyDescent="0.2">
      <c r="D142" s="19" t="str" cm="1">
        <f t="array" ref="D142">Common_InputFunctions.Utility_DisplayArrayInTable(Scope3_SourceData.Scope3_Feed_Data(), Table_SourceData_Scope3_Feed[[#Headers],[Category]], -1, 2)</f>
        <v>Hay</v>
      </c>
      <c r="E142" s="19" t="str" cm="1">
        <f t="array" ref="E142">Common_InputFunctions.Utility_DisplayArrayInTable(Scope3_SourceData.Scope3_Feed_Data(), Table_SourceData_Scope3_Feed[[#Headers],[Category]], -1, 2)</f>
        <v>Oaten hay</v>
      </c>
      <c r="F142" s="19" t="str" cm="1">
        <f t="array" ref="F142">Common_InputFunctions.Utility_DisplayArrayInTable(Scope3_SourceData.Scope3_Feed_Data(), Table_SourceData_Scope3_Feed[[#Headers],[Category]], -1, 2)</f>
        <v>VIC</v>
      </c>
      <c r="G142" s="19" t="str" cm="1">
        <f t="array" ref="G142">Common_InputFunctions.Utility_DisplayArrayInTable(Scope3_SourceData.Scope3_Feed_Data(), Table_SourceData_Scope3_Feed[[#Headers],[Category]], -1, 2)</f>
        <v>kg</v>
      </c>
      <c r="H142" s="19" cm="1">
        <f t="array" ref="H142">Common_InputFunctions.Utility_DisplayArrayInTable(Scope3_SourceData.Scope3_Feed_Data(), Table_SourceData_Scope3_Feed[[#Headers],[Category]], -1, 2)</f>
        <v>0.11799999999999999</v>
      </c>
      <c r="I142" s="19" t="str" cm="1">
        <f t="array" ref="I142">Common_InputFunctions.Utility_DisplayArrayInTable(Scope3_SourceData.Scope3_Feed_Data(), Table_SourceData_Scope3_Feed[[#Headers],[Category]], -1, 2)</f>
        <v>at market</v>
      </c>
      <c r="J142" s="19" t="s">
        <v>1169</v>
      </c>
      <c r="L142" s="19" t="str">
        <f>Table_SourceData_Scope3_Feed[[#This Row],[Product]]</f>
        <v>Oaten hay</v>
      </c>
      <c r="M142" s="19" t="str">
        <f>Table_SourceData_Scope3_Feed[[#This Row],[Region of origin]]</f>
        <v>VIC</v>
      </c>
    </row>
    <row r="143" spans="4:17" ht="20.100000000000001" customHeight="1" x14ac:dyDescent="0.2">
      <c r="D143" s="19" t="str" cm="1">
        <f t="array" ref="D143">Common_InputFunctions.Utility_DisplayArrayInTable(Scope3_SourceData.Scope3_Feed_Data(), Table_SourceData_Scope3_Feed[[#Headers],[Category]], -1, 2)</f>
        <v>Hay</v>
      </c>
      <c r="E143" s="19" t="str" cm="1">
        <f t="array" ref="E143">Common_InputFunctions.Utility_DisplayArrayInTable(Scope3_SourceData.Scope3_Feed_Data(), Table_SourceData_Scope3_Feed[[#Headers],[Category]], -1, 2)</f>
        <v>Oaten hay</v>
      </c>
      <c r="F143" s="19" t="str" cm="1">
        <f t="array" ref="F143">Common_InputFunctions.Utility_DisplayArrayInTable(Scope3_SourceData.Scope3_Feed_Data(), Table_SourceData_Scope3_Feed[[#Headers],[Category]], -1, 2)</f>
        <v>WA</v>
      </c>
      <c r="G143" s="19" t="str" cm="1">
        <f t="array" ref="G143">Common_InputFunctions.Utility_DisplayArrayInTable(Scope3_SourceData.Scope3_Feed_Data(), Table_SourceData_Scope3_Feed[[#Headers],[Category]], -1, 2)</f>
        <v>kg</v>
      </c>
      <c r="H143" s="19" cm="1">
        <f t="array" ref="H143">Common_InputFunctions.Utility_DisplayArrayInTable(Scope3_SourceData.Scope3_Feed_Data(), Table_SourceData_Scope3_Feed[[#Headers],[Category]], -1, 2)</f>
        <v>0.124</v>
      </c>
      <c r="I143" s="19" t="str" cm="1">
        <f t="array" ref="I143">Common_InputFunctions.Utility_DisplayArrayInTable(Scope3_SourceData.Scope3_Feed_Data(), Table_SourceData_Scope3_Feed[[#Headers],[Category]], -1, 2)</f>
        <v>at market</v>
      </c>
      <c r="J143" s="19" t="s">
        <v>1169</v>
      </c>
      <c r="L143" s="19" t="str">
        <f>Table_SourceData_Scope3_Feed[[#This Row],[Product]]</f>
        <v>Oaten hay</v>
      </c>
      <c r="M143" s="19" t="str">
        <f>Table_SourceData_Scope3_Feed[[#This Row],[Region of origin]]</f>
        <v>WA</v>
      </c>
      <c r="O143" s="19" t="s">
        <v>132</v>
      </c>
      <c r="P143" s="19" t="s">
        <v>1167</v>
      </c>
      <c r="Q143" s="1" t="str">
        <f>"Table_ProductRegions_" &amp; SUBSTITUTE(SUBSTITUTE(SUBSTITUTE(SUBSTITUTE(O144, " ", ""), ",", ""), "(", ""), ")", "")</f>
        <v>Table_ProductRegions_Pasturehay</v>
      </c>
    </row>
    <row r="144" spans="4:17" ht="20.100000000000001" customHeight="1" x14ac:dyDescent="0.2">
      <c r="D144" s="19" t="str" cm="1">
        <f t="array" ref="D144">Common_InputFunctions.Utility_DisplayArrayInTable(Scope3_SourceData.Scope3_Feed_Data(), Table_SourceData_Scope3_Feed[[#Headers],[Category]], -1, 2)</f>
        <v>Hay</v>
      </c>
      <c r="E144" s="19" t="str" cm="1">
        <f t="array" ref="E144">Common_InputFunctions.Utility_DisplayArrayInTable(Scope3_SourceData.Scope3_Feed_Data(), Table_SourceData_Scope3_Feed[[#Headers],[Category]], -1, 2)</f>
        <v>Pasture hay</v>
      </c>
      <c r="F144" s="19" t="str" cm="1">
        <f t="array" ref="F144">Common_InputFunctions.Utility_DisplayArrayInTable(Scope3_SourceData.Scope3_Feed_Data(), Table_SourceData_Scope3_Feed[[#Headers],[Category]], -1, 2)</f>
        <v>Australia</v>
      </c>
      <c r="G144" s="19" t="str" cm="1">
        <f t="array" ref="G144">Common_InputFunctions.Utility_DisplayArrayInTable(Scope3_SourceData.Scope3_Feed_Data(), Table_SourceData_Scope3_Feed[[#Headers],[Category]], -1, 2)</f>
        <v>kg</v>
      </c>
      <c r="H144" s="19" cm="1">
        <f t="array" ref="H144">Common_InputFunctions.Utility_DisplayArrayInTable(Scope3_SourceData.Scope3_Feed_Data(), Table_SourceData_Scope3_Feed[[#Headers],[Category]], -1, 2)</f>
        <v>0.33900000000000002</v>
      </c>
      <c r="I144" s="19" t="str" cm="1">
        <f t="array" ref="I144">Common_InputFunctions.Utility_DisplayArrayInTable(Scope3_SourceData.Scope3_Feed_Data(), Table_SourceData_Scope3_Feed[[#Headers],[Category]], -1, 2)</f>
        <v>at market</v>
      </c>
      <c r="J144" s="19" t="s">
        <v>1169</v>
      </c>
      <c r="O144" s="19" t="str">
        <f>Table_SourceData_Scope3_Feed[[#This Row],[Product]]</f>
        <v>Pasture hay</v>
      </c>
      <c r="P144" s="19" t="str">
        <f>Table_SourceData_Scope3_Feed[[#This Row],[Region of origin]]</f>
        <v>Australia</v>
      </c>
    </row>
    <row r="145" spans="1:17" ht="20.100000000000001" customHeight="1" x14ac:dyDescent="0.2">
      <c r="D145" s="19" t="str" cm="1">
        <f t="array" ref="D145">Common_InputFunctions.Utility_DisplayArrayInTable(Scope3_SourceData.Scope3_Feed_Data(), Table_SourceData_Scope3_Feed[[#Headers],[Category]], -1, 2)</f>
        <v>Hay</v>
      </c>
      <c r="E145" s="19" t="str" cm="1">
        <f t="array" ref="E145">Common_InputFunctions.Utility_DisplayArrayInTable(Scope3_SourceData.Scope3_Feed_Data(), Table_SourceData_Scope3_Feed[[#Headers],[Category]], -1, 2)</f>
        <v>Pasture hay</v>
      </c>
      <c r="F145" s="19" t="str" cm="1">
        <f t="array" ref="F145">Common_InputFunctions.Utility_DisplayArrayInTable(Scope3_SourceData.Scope3_Feed_Data(), Table_SourceData_Scope3_Feed[[#Headers],[Category]], -1, 2)</f>
        <v>NSW</v>
      </c>
      <c r="G145" s="19" t="str" cm="1">
        <f t="array" ref="G145">Common_InputFunctions.Utility_DisplayArrayInTable(Scope3_SourceData.Scope3_Feed_Data(), Table_SourceData_Scope3_Feed[[#Headers],[Category]], -1, 2)</f>
        <v>kg</v>
      </c>
      <c r="H145" s="19" cm="1">
        <f t="array" ref="H145">Common_InputFunctions.Utility_DisplayArrayInTable(Scope3_SourceData.Scope3_Feed_Data(), Table_SourceData_Scope3_Feed[[#Headers],[Category]], -1, 2)</f>
        <v>0.311</v>
      </c>
      <c r="I145" s="19" t="str" cm="1">
        <f t="array" ref="I145">Common_InputFunctions.Utility_DisplayArrayInTable(Scope3_SourceData.Scope3_Feed_Data(), Table_SourceData_Scope3_Feed[[#Headers],[Category]], -1, 2)</f>
        <v>at market</v>
      </c>
      <c r="J145" s="19" t="s">
        <v>1169</v>
      </c>
      <c r="O145" s="19" t="str">
        <f>Table_SourceData_Scope3_Feed[[#This Row],[Product]]</f>
        <v>Pasture hay</v>
      </c>
      <c r="P145" s="19" t="str">
        <f>Table_SourceData_Scope3_Feed[[#This Row],[Region of origin]]</f>
        <v>NSW</v>
      </c>
    </row>
    <row r="146" spans="1:17" ht="20.100000000000001" customHeight="1" x14ac:dyDescent="0.2">
      <c r="D146" s="19" t="str" cm="1">
        <f t="array" ref="D146">Common_InputFunctions.Utility_DisplayArrayInTable(Scope3_SourceData.Scope3_Feed_Data(), Table_SourceData_Scope3_Feed[[#Headers],[Category]], -1, 2)</f>
        <v>Hay</v>
      </c>
      <c r="E146" s="19" t="str" cm="1">
        <f t="array" ref="E146">Common_InputFunctions.Utility_DisplayArrayInTable(Scope3_SourceData.Scope3_Feed_Data(), Table_SourceData_Scope3_Feed[[#Headers],[Category]], -1, 2)</f>
        <v>Pasture hay</v>
      </c>
      <c r="F146" s="19" t="str" cm="1">
        <f t="array" ref="F146">Common_InputFunctions.Utility_DisplayArrayInTable(Scope3_SourceData.Scope3_Feed_Data(), Table_SourceData_Scope3_Feed[[#Headers],[Category]], -1, 2)</f>
        <v>QLD</v>
      </c>
      <c r="G146" s="19" t="str" cm="1">
        <f t="array" ref="G146">Common_InputFunctions.Utility_DisplayArrayInTable(Scope3_SourceData.Scope3_Feed_Data(), Table_SourceData_Scope3_Feed[[#Headers],[Category]], -1, 2)</f>
        <v>kg</v>
      </c>
      <c r="H146" s="19" cm="1">
        <f t="array" ref="H146">Common_InputFunctions.Utility_DisplayArrayInTable(Scope3_SourceData.Scope3_Feed_Data(), Table_SourceData_Scope3_Feed[[#Headers],[Category]], -1, 2)</f>
        <v>0.254</v>
      </c>
      <c r="I146" s="19" t="str" cm="1">
        <f t="array" ref="I146">Common_InputFunctions.Utility_DisplayArrayInTable(Scope3_SourceData.Scope3_Feed_Data(), Table_SourceData_Scope3_Feed[[#Headers],[Category]], -1, 2)</f>
        <v>at market</v>
      </c>
      <c r="J146" s="19" t="s">
        <v>1169</v>
      </c>
      <c r="O146" s="19" t="str">
        <f>Table_SourceData_Scope3_Feed[[#This Row],[Product]]</f>
        <v>Pasture hay</v>
      </c>
      <c r="P146" s="19" t="str">
        <f>Table_SourceData_Scope3_Feed[[#This Row],[Region of origin]]</f>
        <v>QLD</v>
      </c>
    </row>
    <row r="147" spans="1:17" ht="20.100000000000001" customHeight="1" x14ac:dyDescent="0.2">
      <c r="D147" s="19" t="str" cm="1">
        <f t="array" ref="D147">Common_InputFunctions.Utility_DisplayArrayInTable(Scope3_SourceData.Scope3_Feed_Data(), Table_SourceData_Scope3_Feed[[#Headers],[Category]], -1, 2)</f>
        <v>Hay</v>
      </c>
      <c r="E147" s="19" t="str" cm="1">
        <f t="array" ref="E147">Common_InputFunctions.Utility_DisplayArrayInTable(Scope3_SourceData.Scope3_Feed_Data(), Table_SourceData_Scope3_Feed[[#Headers],[Category]], -1, 2)</f>
        <v>Pasture hay</v>
      </c>
      <c r="F147" s="19" t="str" cm="1">
        <f t="array" ref="F147">Common_InputFunctions.Utility_DisplayArrayInTable(Scope3_SourceData.Scope3_Feed_Data(), Table_SourceData_Scope3_Feed[[#Headers],[Category]], -1, 2)</f>
        <v>SA</v>
      </c>
      <c r="G147" s="19" t="str" cm="1">
        <f t="array" ref="G147">Common_InputFunctions.Utility_DisplayArrayInTable(Scope3_SourceData.Scope3_Feed_Data(), Table_SourceData_Scope3_Feed[[#Headers],[Category]], -1, 2)</f>
        <v>kg</v>
      </c>
      <c r="H147" s="19" cm="1">
        <f t="array" ref="H147">Common_InputFunctions.Utility_DisplayArrayInTable(Scope3_SourceData.Scope3_Feed_Data(), Table_SourceData_Scope3_Feed[[#Headers],[Category]], -1, 2)</f>
        <v>0.313</v>
      </c>
      <c r="I147" s="19" t="str" cm="1">
        <f t="array" ref="I147">Common_InputFunctions.Utility_DisplayArrayInTable(Scope3_SourceData.Scope3_Feed_Data(), Table_SourceData_Scope3_Feed[[#Headers],[Category]], -1, 2)</f>
        <v>at market</v>
      </c>
      <c r="J147" s="19" t="s">
        <v>1169</v>
      </c>
      <c r="O147" s="19" t="str">
        <f>Table_SourceData_Scope3_Feed[[#This Row],[Product]]</f>
        <v>Pasture hay</v>
      </c>
      <c r="P147" s="19" t="str">
        <f>Table_SourceData_Scope3_Feed[[#This Row],[Region of origin]]</f>
        <v>SA</v>
      </c>
    </row>
    <row r="148" spans="1:17" ht="20.100000000000001" customHeight="1" x14ac:dyDescent="0.2">
      <c r="D148" s="19" t="str" cm="1">
        <f t="array" ref="D148">Common_InputFunctions.Utility_DisplayArrayInTable(Scope3_SourceData.Scope3_Feed_Data(), Table_SourceData_Scope3_Feed[[#Headers],[Category]], -1, 2)</f>
        <v>Hay</v>
      </c>
      <c r="E148" s="19" t="str" cm="1">
        <f t="array" ref="E148">Common_InputFunctions.Utility_DisplayArrayInTable(Scope3_SourceData.Scope3_Feed_Data(), Table_SourceData_Scope3_Feed[[#Headers],[Category]], -1, 2)</f>
        <v>Pasture hay</v>
      </c>
      <c r="F148" s="19" t="str" cm="1">
        <f t="array" ref="F148">Common_InputFunctions.Utility_DisplayArrayInTable(Scope3_SourceData.Scope3_Feed_Data(), Table_SourceData_Scope3_Feed[[#Headers],[Category]], -1, 2)</f>
        <v>TAS</v>
      </c>
      <c r="G148" s="19" t="str" cm="1">
        <f t="array" ref="G148">Common_InputFunctions.Utility_DisplayArrayInTable(Scope3_SourceData.Scope3_Feed_Data(), Table_SourceData_Scope3_Feed[[#Headers],[Category]], -1, 2)</f>
        <v>kg</v>
      </c>
      <c r="H148" s="19" cm="1">
        <f t="array" ref="H148">Common_InputFunctions.Utility_DisplayArrayInTable(Scope3_SourceData.Scope3_Feed_Data(), Table_SourceData_Scope3_Feed[[#Headers],[Category]], -1, 2)</f>
        <v>0.39800000000000002</v>
      </c>
      <c r="I148" s="19" t="str" cm="1">
        <f t="array" ref="I148">Common_InputFunctions.Utility_DisplayArrayInTable(Scope3_SourceData.Scope3_Feed_Data(), Table_SourceData_Scope3_Feed[[#Headers],[Category]], -1, 2)</f>
        <v>at market</v>
      </c>
      <c r="J148" s="19" t="s">
        <v>1169</v>
      </c>
      <c r="O148" s="19" t="str">
        <f>Table_SourceData_Scope3_Feed[[#This Row],[Product]]</f>
        <v>Pasture hay</v>
      </c>
      <c r="P148" s="19" t="str">
        <f>Table_SourceData_Scope3_Feed[[#This Row],[Region of origin]]</f>
        <v>TAS</v>
      </c>
    </row>
    <row r="149" spans="1:17" ht="20.100000000000001" customHeight="1" x14ac:dyDescent="0.2">
      <c r="D149" s="19" t="str" cm="1">
        <f t="array" ref="D149">Common_InputFunctions.Utility_DisplayArrayInTable(Scope3_SourceData.Scope3_Feed_Data(), Table_SourceData_Scope3_Feed[[#Headers],[Category]], -1, 2)</f>
        <v>Hay</v>
      </c>
      <c r="E149" s="19" t="str" cm="1">
        <f t="array" ref="E149">Common_InputFunctions.Utility_DisplayArrayInTable(Scope3_SourceData.Scope3_Feed_Data(), Table_SourceData_Scope3_Feed[[#Headers],[Category]], -1, 2)</f>
        <v>Pasture hay</v>
      </c>
      <c r="F149" s="19" t="str" cm="1">
        <f t="array" ref="F149">Common_InputFunctions.Utility_DisplayArrayInTable(Scope3_SourceData.Scope3_Feed_Data(), Table_SourceData_Scope3_Feed[[#Headers],[Category]], -1, 2)</f>
        <v>VIC</v>
      </c>
      <c r="G149" s="19" t="str" cm="1">
        <f t="array" ref="G149">Common_InputFunctions.Utility_DisplayArrayInTable(Scope3_SourceData.Scope3_Feed_Data(), Table_SourceData_Scope3_Feed[[#Headers],[Category]], -1, 2)</f>
        <v>kg</v>
      </c>
      <c r="H149" s="19" cm="1">
        <f t="array" ref="H149">Common_InputFunctions.Utility_DisplayArrayInTable(Scope3_SourceData.Scope3_Feed_Data(), Table_SourceData_Scope3_Feed[[#Headers],[Category]], -1, 2)</f>
        <v>0.34499999999999997</v>
      </c>
      <c r="I149" s="19" t="str" cm="1">
        <f t="array" ref="I149">Common_InputFunctions.Utility_DisplayArrayInTable(Scope3_SourceData.Scope3_Feed_Data(), Table_SourceData_Scope3_Feed[[#Headers],[Category]], -1, 2)</f>
        <v>at market</v>
      </c>
      <c r="J149" s="19" t="s">
        <v>1169</v>
      </c>
      <c r="O149" s="19" t="str">
        <f>Table_SourceData_Scope3_Feed[[#This Row],[Product]]</f>
        <v>Pasture hay</v>
      </c>
      <c r="P149" s="19" t="str">
        <f>Table_SourceData_Scope3_Feed[[#This Row],[Region of origin]]</f>
        <v>VIC</v>
      </c>
    </row>
    <row r="150" spans="1:17" ht="20.100000000000001" customHeight="1" x14ac:dyDescent="0.2">
      <c r="D150" s="19" t="str" cm="1">
        <f t="array" ref="D150">Common_InputFunctions.Utility_DisplayArrayInTable(Scope3_SourceData.Scope3_Feed_Data(), Table_SourceData_Scope3_Feed[[#Headers],[Category]], -1, 2)</f>
        <v>Hay</v>
      </c>
      <c r="E150" s="19" t="str" cm="1">
        <f t="array" ref="E150">Common_InputFunctions.Utility_DisplayArrayInTable(Scope3_SourceData.Scope3_Feed_Data(), Table_SourceData_Scope3_Feed[[#Headers],[Category]], -1, 2)</f>
        <v>Pasture hay</v>
      </c>
      <c r="F150" s="19" t="str" cm="1">
        <f t="array" ref="F150">Common_InputFunctions.Utility_DisplayArrayInTable(Scope3_SourceData.Scope3_Feed_Data(), Table_SourceData_Scope3_Feed[[#Headers],[Category]], -1, 2)</f>
        <v>WA</v>
      </c>
      <c r="G150" s="19" t="str" cm="1">
        <f t="array" ref="G150">Common_InputFunctions.Utility_DisplayArrayInTable(Scope3_SourceData.Scope3_Feed_Data(), Table_SourceData_Scope3_Feed[[#Headers],[Category]], -1, 2)</f>
        <v>kg</v>
      </c>
      <c r="H150" s="19" cm="1">
        <f t="array" ref="H150">Common_InputFunctions.Utility_DisplayArrayInTable(Scope3_SourceData.Scope3_Feed_Data(), Table_SourceData_Scope3_Feed[[#Headers],[Category]], -1, 2)</f>
        <v>0.36799999999999999</v>
      </c>
      <c r="I150" s="19" t="str" cm="1">
        <f t="array" ref="I150">Common_InputFunctions.Utility_DisplayArrayInTable(Scope3_SourceData.Scope3_Feed_Data(), Table_SourceData_Scope3_Feed[[#Headers],[Category]], -1, 2)</f>
        <v>at market</v>
      </c>
      <c r="J150" s="19" t="s">
        <v>1169</v>
      </c>
      <c r="L150" s="237" t="s">
        <v>132</v>
      </c>
      <c r="M150" s="237" t="s">
        <v>1167</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
      <c r="D151" s="19" t="str" cm="1">
        <f t="array" ref="D151">Common_InputFunctions.Utility_DisplayArrayInTable(Scope3_SourceData.Scope3_Feed_Data(), Table_SourceData_Scope3_Feed[[#Headers],[Category]], -1, 2)</f>
        <v>Meal</v>
      </c>
      <c r="E151" s="19" t="str" cm="1">
        <f t="array" ref="E151">Common_InputFunctions.Utility_DisplayArrayInTable(Scope3_SourceData.Scope3_Feed_Data(), Table_SourceData_Scope3_Feed[[#Headers],[Category]], -1, 2)</f>
        <v>Canola meal</v>
      </c>
      <c r="F151" s="19" t="str" cm="1">
        <f t="array" ref="F151">Common_InputFunctions.Utility_DisplayArrayInTable(Scope3_SourceData.Scope3_Feed_Data(), Table_SourceData_Scope3_Feed[[#Headers],[Category]], -1, 2)</f>
        <v>Australia</v>
      </c>
      <c r="G151" s="19" t="str" cm="1">
        <f t="array" ref="G151">Common_InputFunctions.Utility_DisplayArrayInTable(Scope3_SourceData.Scope3_Feed_Data(), Table_SourceData_Scope3_Feed[[#Headers],[Category]], -1, 2)</f>
        <v>kg</v>
      </c>
      <c r="H151" s="19" cm="1">
        <f t="array" ref="H151">Common_InputFunctions.Utility_DisplayArrayInTable(Scope3_SourceData.Scope3_Feed_Data(), Table_SourceData_Scope3_Feed[[#Headers],[Category]], -1, 2)</f>
        <v>0.24399999999999999</v>
      </c>
      <c r="I151" s="19" t="str" cm="1">
        <f t="array" ref="I151">Common_InputFunctions.Utility_DisplayArrayInTable(Scope3_SourceData.Scope3_Feed_Data(), Table_SourceData_Scope3_Feed[[#Headers],[Category]], -1, 2)</f>
        <v>at market</v>
      </c>
      <c r="J151" s="19" t="s">
        <v>1169</v>
      </c>
      <c r="L151" s="1" t="str">
        <f>Table_SourceData_Scope3_Feed[[#This Row],[Product]]</f>
        <v>Canola meal</v>
      </c>
      <c r="M151" s="1" t="str">
        <f>Table_SourceData_Scope3_Feed[[#This Row],[Region of origin]]</f>
        <v>Australia</v>
      </c>
      <c r="O151" s="19" t="s">
        <v>132</v>
      </c>
      <c r="P151" s="19" t="s">
        <v>1167</v>
      </c>
      <c r="Q151" s="1" t="str">
        <f>"Table_ProductRegions_" &amp; SUBSTITUTE(SUBSTITUTE(SUBSTITUTE(SUBSTITUTE(O152, " ", ""), ",", ""), "(", ""), ")", "")</f>
        <v>Table_ProductRegions_Meatmeal</v>
      </c>
    </row>
    <row r="152" spans="1:17" ht="20.100000000000001" customHeight="1" x14ac:dyDescent="0.2">
      <c r="D152" s="19" t="str" cm="1">
        <f t="array" ref="D152">Common_InputFunctions.Utility_DisplayArrayInTable(Scope3_SourceData.Scope3_Feed_Data(), Table_SourceData_Scope3_Feed[[#Headers],[Category]], -1, 2)</f>
        <v>Meal</v>
      </c>
      <c r="E152" s="19" t="str" cm="1">
        <f t="array" ref="E152">Common_InputFunctions.Utility_DisplayArrayInTable(Scope3_SourceData.Scope3_Feed_Data(), Table_SourceData_Scope3_Feed[[#Headers],[Category]], -1, 2)</f>
        <v>Meat meal</v>
      </c>
      <c r="F152" s="19" t="str" cm="1">
        <f t="array" ref="F152">Common_InputFunctions.Utility_DisplayArrayInTable(Scope3_SourceData.Scope3_Feed_Data(), Table_SourceData_Scope3_Feed[[#Headers],[Category]], -1, 2)</f>
        <v>Australia</v>
      </c>
      <c r="G152" s="19" t="str" cm="1">
        <f t="array" ref="G152">Common_InputFunctions.Utility_DisplayArrayInTable(Scope3_SourceData.Scope3_Feed_Data(), Table_SourceData_Scope3_Feed[[#Headers],[Category]], -1, 2)</f>
        <v>kg</v>
      </c>
      <c r="H152" s="19" cm="1">
        <f t="array" ref="H152">Common_InputFunctions.Utility_DisplayArrayInTable(Scope3_SourceData.Scope3_Feed_Data(), Table_SourceData_Scope3_Feed[[#Headers],[Category]], -1, 2)</f>
        <v>0.40799999999999997</v>
      </c>
      <c r="I152" s="19" t="str" cm="1">
        <f t="array" ref="I152">Common_InputFunctions.Utility_DisplayArrayInTable(Scope3_SourceData.Scope3_Feed_Data(), Table_SourceData_Scope3_Feed[[#Headers],[Category]], -1, 2)</f>
        <v>at market</v>
      </c>
      <c r="J152" s="19" t="s">
        <v>1169</v>
      </c>
      <c r="L152" s="19" t="s">
        <v>132</v>
      </c>
      <c r="M152" s="19" t="s">
        <v>1167</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
      <c r="D153" s="19" t="str" cm="1">
        <f t="array" ref="D153">Common_InputFunctions.Utility_DisplayArrayInTable(Scope3_SourceData.Scope3_Feed_Data(), Table_SourceData_Scope3_Feed[[#Headers],[Category]], -1, 2)</f>
        <v>Meal</v>
      </c>
      <c r="E153" s="19" t="str" cm="1">
        <f t="array" ref="E153">Common_InputFunctions.Utility_DisplayArrayInTable(Scope3_SourceData.Scope3_Feed_Data(), Table_SourceData_Scope3_Feed[[#Headers],[Category]], -1, 2)</f>
        <v>Soybean meal</v>
      </c>
      <c r="F153" s="19" t="str" cm="1">
        <f t="array" ref="F153">Common_InputFunctions.Utility_DisplayArrayInTable(Scope3_SourceData.Scope3_Feed_Data(), Table_SourceData_Scope3_Feed[[#Headers],[Category]], -1, 2)</f>
        <v>Brazil</v>
      </c>
      <c r="G153" s="19" t="str" cm="1">
        <f t="array" ref="G153">Common_InputFunctions.Utility_DisplayArrayInTable(Scope3_SourceData.Scope3_Feed_Data(), Table_SourceData_Scope3_Feed[[#Headers],[Category]], -1, 2)</f>
        <v>kg</v>
      </c>
      <c r="H153" s="19" cm="1">
        <f t="array" ref="H153">Common_InputFunctions.Utility_DisplayArrayInTable(Scope3_SourceData.Scope3_Feed_Data(), Table_SourceData_Scope3_Feed[[#Headers],[Category]], -1, 2)</f>
        <v>0.42599999999999999</v>
      </c>
      <c r="I153" s="19" t="str" cm="1">
        <f t="array" ref="I153">Common_InputFunctions.Utility_DisplayArrayInTable(Scope3_SourceData.Scope3_Feed_Data(), Table_SourceData_Scope3_Feed[[#Headers],[Category]], -1, 2)</f>
        <v>at market</v>
      </c>
      <c r="J153" s="19" t="s">
        <v>1169</v>
      </c>
      <c r="L153" s="19" t="str">
        <f>Table_SourceData_Scope3_Feed[[#This Row],[Product]]</f>
        <v>Soybean meal</v>
      </c>
      <c r="M153" s="19" t="str">
        <f>Table_SourceData_Scope3_Feed[[#This Row],[Region of origin]]</f>
        <v>Brazil</v>
      </c>
      <c r="O153" s="19" t="s">
        <v>132</v>
      </c>
      <c r="P153" s="19" t="s">
        <v>1167</v>
      </c>
      <c r="Q153" s="1" t="str">
        <f>"Table_ProductRegions_" &amp; SUBSTITUTE(SUBSTITUTE(SUBSTITUTE(SUBSTITUTE(O154, " ", ""), ",", ""), "(", ""), ")", "")</f>
        <v>Table_ProductRegions_Wheatbran</v>
      </c>
    </row>
    <row r="154" spans="1:17" ht="20.100000000000001" customHeight="1" x14ac:dyDescent="0.2">
      <c r="D154" s="19" t="str" cm="1">
        <f t="array" ref="D154">Common_InputFunctions.Utility_DisplayArrayInTable(Scope3_SourceData.Scope3_Feed_Data(), Table_SourceData_Scope3_Feed[[#Headers],[Category]], -1, 2)</f>
        <v>Meal</v>
      </c>
      <c r="E154" s="19" t="str" cm="1">
        <f t="array" ref="E154">Common_InputFunctions.Utility_DisplayArrayInTable(Scope3_SourceData.Scope3_Feed_Data(), Table_SourceData_Scope3_Feed[[#Headers],[Category]], -1, 2)</f>
        <v>Wheat bran</v>
      </c>
      <c r="F154" s="19" t="str" cm="1">
        <f t="array" ref="F154">Common_InputFunctions.Utility_DisplayArrayInTable(Scope3_SourceData.Scope3_Feed_Data(), Table_SourceData_Scope3_Feed[[#Headers],[Category]], -1, 2)</f>
        <v>Australia</v>
      </c>
      <c r="G154" s="19" t="str" cm="1">
        <f t="array" ref="G154">Common_InputFunctions.Utility_DisplayArrayInTable(Scope3_SourceData.Scope3_Feed_Data(), Table_SourceData_Scope3_Feed[[#Headers],[Category]], -1, 2)</f>
        <v>kg</v>
      </c>
      <c r="H154" s="19" cm="1">
        <f t="array" ref="H154">Common_InputFunctions.Utility_DisplayArrayInTable(Scope3_SourceData.Scope3_Feed_Data(), Table_SourceData_Scope3_Feed[[#Headers],[Category]], -1, 2)</f>
        <v>0.19600000000000001</v>
      </c>
      <c r="I154" s="19" t="str" cm="1">
        <f t="array" ref="I154">Common_InputFunctions.Utility_DisplayArrayInTable(Scope3_SourceData.Scope3_Feed_Data(), Table_SourceData_Scope3_Feed[[#Headers],[Category]], -1, 2)</f>
        <v>at market</v>
      </c>
      <c r="J154" s="19" t="s">
        <v>1169</v>
      </c>
      <c r="L154" s="19" t="s">
        <v>132</v>
      </c>
      <c r="M154" s="19" t="s">
        <v>1167</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19" t="s">
        <v>1169</v>
      </c>
      <c r="L155" s="19" t="str">
        <f>Table_SourceData_Scope3_Feed[[#This Row],[Product]]</f>
        <v>Bentonite</v>
      </c>
      <c r="M155" s="19" t="str">
        <f>Table_SourceData_Scope3_Feed[[#This Row],[Region of origin]]</f>
        <v>Australia</v>
      </c>
      <c r="O155" s="19" t="s">
        <v>132</v>
      </c>
      <c r="P155" s="19" t="s">
        <v>1167</v>
      </c>
      <c r="Q155" s="1" t="str">
        <f>"Table_ProductRegions_" &amp; SUBSTITUTE(SUBSTITUTE(SUBSTITUTE(SUBSTITUTE(O156, " ", ""), ",", ""), "(", ""), ")", "")</f>
        <v>Table_ProductRegions_Canolaoil</v>
      </c>
    </row>
    <row r="156" spans="1:17" ht="20.100000000000001" customHeight="1" x14ac:dyDescent="0.2">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19" t="s">
        <v>1169</v>
      </c>
      <c r="L156" s="19" t="s">
        <v>132</v>
      </c>
      <c r="M156" s="19" t="s">
        <v>1167</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19" t="s">
        <v>1169</v>
      </c>
      <c r="L157" s="19" t="str">
        <f>Table_SourceData_Scope3_Feed[[#This Row],[Product]]</f>
        <v>Cotton seed</v>
      </c>
      <c r="M157" s="19" t="str">
        <f>Table_SourceData_Scope3_Feed[[#This Row],[Region of origin]]</f>
        <v>Australia</v>
      </c>
      <c r="O157" s="19" t="s">
        <v>132</v>
      </c>
      <c r="P157" s="19" t="s">
        <v>1167</v>
      </c>
      <c r="Q157" s="1" t="str">
        <f>"Table_ProductRegions_" &amp; SUBSTITUTE(SUBSTITUTE(SUBSTITUTE(SUBSTITUTE(O158, " ", ""), ",", ""), "(", ""), ")", "")</f>
        <v>Table_ProductRegions_Molasses</v>
      </c>
    </row>
    <row r="158" spans="1:17" ht="20.100000000000001" customHeight="1" x14ac:dyDescent="0.2">
      <c r="A158" s="79" t="str">
        <f>HYPERLINK("#A1", "▲ Back to top")</f>
        <v>▲ Back to top</v>
      </c>
      <c r="D158" s="19" t="str" cm="1">
        <f t="array" ref="D158">Common_InputFunctions.Utility_DisplayArrayInTable(Scope3_SourceData.Scope3_Feed_Data(), Table_SourceData_Scope3_Feed[[#Headers],[Category]], -8, 2)</f>
        <v>Other</v>
      </c>
      <c r="E158" s="19" t="str" cm="1">
        <f t="array" ref="E158">Common_InputFunctions.Utility_DisplayArrayInTable(Scope3_SourceData.Scope3_Feed_Data(), Table_SourceData_Scope3_Feed[[#Headers],[Category]], -8, 2)</f>
        <v>Molasses</v>
      </c>
      <c r="F158" s="19" t="str" cm="1">
        <f t="array" ref="F158">Common_InputFunctions.Utility_DisplayArrayInTable(Scope3_SourceData.Scope3_Feed_Data(), Table_SourceData_Scope3_Feed[[#Headers],[Category]], -8, 2)</f>
        <v>QLD</v>
      </c>
      <c r="G158" s="19" t="str" cm="1">
        <f t="array" ref="G158">Common_InputFunctions.Utility_DisplayArrayInTable(Scope3_SourceData.Scope3_Feed_Data(), Table_SourceData_Scope3_Feed[[#Headers],[Category]], -8, 2)</f>
        <v>kg</v>
      </c>
      <c r="H158" s="19" cm="1">
        <f t="array" ref="H158">Common_InputFunctions.Utility_DisplayArrayInTable(Scope3_SourceData.Scope3_Feed_Data(), Table_SourceData_Scope3_Feed[[#Headers],[Category]], -8, 2)</f>
        <v>0.184</v>
      </c>
      <c r="I158" s="19" t="str" cm="1">
        <f t="array" ref="I158">Common_InputFunctions.Utility_DisplayArrayInTable(Scope3_SourceData.Scope3_Feed_Data(), Table_SourceData_Scope3_Feed[[#Headers],[Category]], -8, 2)</f>
        <v>at market</v>
      </c>
      <c r="J158" s="19"/>
      <c r="O158" s="19" t="str">
        <f>Table_SourceData_Scope3_Feed[[#This Row],[Product]]</f>
        <v>Molasses</v>
      </c>
      <c r="P158" s="19" t="str">
        <f>Table_SourceData_Scope3_Feed[[#This Row],[Region of origin]]</f>
        <v>QLD</v>
      </c>
    </row>
    <row r="161" spans="4:14" ht="20.100000000000001" customHeight="1" x14ac:dyDescent="0.2">
      <c r="D161" s="19" t="s">
        <v>1162</v>
      </c>
      <c r="E161" s="19" t="s">
        <v>132</v>
      </c>
      <c r="F161" s="19" t="s">
        <v>1163</v>
      </c>
      <c r="G161" s="19" t="s">
        <v>1164</v>
      </c>
      <c r="H161" s="19" t="s">
        <v>1165</v>
      </c>
      <c r="I161" s="19" t="s">
        <v>1166</v>
      </c>
      <c r="J161" s="19" t="s">
        <v>570</v>
      </c>
    </row>
    <row r="162" spans="4:14" ht="20.100000000000001" customHeight="1" x14ac:dyDescent="0.2">
      <c r="D162" s="19" t="str" cm="1">
        <f t="array" ref="D162">Common_InputFunctions.Utility_DisplayArrayInTable(Scope3_SourceData.Scope3_Feed_Data(), Table_SourceData_Scope3_MixedRations[[#Headers],[Category]], -66, 2)</f>
        <v>Mixed rations</v>
      </c>
      <c r="E162" s="19" t="str" cm="1">
        <f t="array" ref="E162">Common_InputFunctions.Utility_DisplayArrayInTable(Scope3_SourceData.Scope3_Feed_Data(), Table_SourceData_Scope3_MixedRations[[#Headers],[Category]], -66, 2)</f>
        <v>Feed for chickens</v>
      </c>
      <c r="F162" s="19" t="str" cm="1">
        <f t="array" ref="F162">Common_InputFunctions.Utility_DisplayArrayInTable(Scope3_SourceData.Scope3_Feed_Data(), Table_SourceData_Scope3_MixedRations[[#Headers],[Category]], -66, 2)</f>
        <v>Australia</v>
      </c>
      <c r="G162" s="19" t="str" cm="1">
        <f t="array" ref="G162">Common_InputFunctions.Utility_DisplayArrayInTable(Scope3_SourceData.Scope3_Feed_Data(), Table_SourceData_Scope3_MixedRations[[#Headers],[Category]], -66, 2)</f>
        <v>kg</v>
      </c>
      <c r="H162" s="19" cm="1">
        <f t="array" ref="H162">Common_InputFunctions.Utility_DisplayArrayInTable(Scope3_SourceData.Scope3_Feed_Data(), Table_SourceData_Scope3_MixedRations[[#Headers],[Category]], -66, 2)</f>
        <v>0.59399999999999997</v>
      </c>
      <c r="I162" s="19" t="str" cm="1">
        <f t="array" ref="I162">Common_InputFunctions.Utility_DisplayArrayInTable(Scope3_SourceData.Scope3_Feed_Data(), Table_SourceData_Scope3_MixedRations[[#Headers],[Category]], -66, 2)</f>
        <v>at market</v>
      </c>
      <c r="J162" s="19" t="s">
        <v>1169</v>
      </c>
    </row>
    <row r="163" spans="4:14" ht="20.100000000000001" customHeight="1" x14ac:dyDescent="0.2">
      <c r="D163" s="19" t="str" cm="1">
        <f t="array" ref="D163">Common_InputFunctions.Utility_DisplayArrayInTable(Scope3_SourceData.Scope3_Feed_Data(), Table_SourceData_Scope3_MixedRations[[#Headers],[Category]], -66, 2)</f>
        <v>Mixed rations</v>
      </c>
      <c r="E163" s="19" t="str" cm="1">
        <f t="array" ref="E163">Common_InputFunctions.Utility_DisplayArrayInTable(Scope3_SourceData.Scope3_Feed_Data(), Table_SourceData_Scope3_MixedRations[[#Headers],[Category]], -66, 2)</f>
        <v>Feed for dairy calves</v>
      </c>
      <c r="F163" s="19" t="str" cm="1">
        <f t="array" ref="F163">Common_InputFunctions.Utility_DisplayArrayInTable(Scope3_SourceData.Scope3_Feed_Data(), Table_SourceData_Scope3_MixedRations[[#Headers],[Category]], -66, 2)</f>
        <v>Australia</v>
      </c>
      <c r="G163" s="19" t="str" cm="1">
        <f t="array" ref="G163">Common_InputFunctions.Utility_DisplayArrayInTable(Scope3_SourceData.Scope3_Feed_Data(), Table_SourceData_Scope3_MixedRations[[#Headers],[Category]], -66, 2)</f>
        <v>kg</v>
      </c>
      <c r="H163" s="19" cm="1">
        <f t="array" ref="H163">Common_InputFunctions.Utility_DisplayArrayInTable(Scope3_SourceData.Scope3_Feed_Data(), Table_SourceData_Scope3_MixedRations[[#Headers],[Category]], -66, 2)</f>
        <v>0.41899999999999998</v>
      </c>
      <c r="I163" s="19" t="str" cm="1">
        <f t="array" ref="I163">Common_InputFunctions.Utility_DisplayArrayInTable(Scope3_SourceData.Scope3_Feed_Data(), Table_SourceData_Scope3_MixedRations[[#Headers],[Category]], -66, 2)</f>
        <v>at market</v>
      </c>
      <c r="J163" s="19" t="s">
        <v>1169</v>
      </c>
    </row>
    <row r="164" spans="4:14" ht="20.100000000000001" customHeight="1" x14ac:dyDescent="0.2">
      <c r="D164" s="19" t="str" cm="1">
        <f t="array" ref="D164">Common_InputFunctions.Utility_DisplayArrayInTable(Scope3_SourceData.Scope3_Feed_Data(), Table_SourceData_Scope3_MixedRations[[#Headers],[Category]], -66, 2)</f>
        <v>Mixed rations</v>
      </c>
      <c r="E164" s="19" t="str" cm="1">
        <f t="array" ref="E164">Common_InputFunctions.Utility_DisplayArrayInTable(Scope3_SourceData.Scope3_Feed_Data(), Table_SourceData_Scope3_MixedRations[[#Headers],[Category]], -66, 2)</f>
        <v>Feed for dairy cows</v>
      </c>
      <c r="F164" s="19" t="str" cm="1">
        <f t="array" ref="F164">Common_InputFunctions.Utility_DisplayArrayInTable(Scope3_SourceData.Scope3_Feed_Data(), Table_SourceData_Scope3_MixedRations[[#Headers],[Category]], -66, 2)</f>
        <v>Australia</v>
      </c>
      <c r="G164" s="19" t="str" cm="1">
        <f t="array" ref="G164">Common_InputFunctions.Utility_DisplayArrayInTable(Scope3_SourceData.Scope3_Feed_Data(), Table_SourceData_Scope3_MixedRations[[#Headers],[Category]], -66, 2)</f>
        <v>kg</v>
      </c>
      <c r="H164" s="19" cm="1">
        <f t="array" ref="H164">Common_InputFunctions.Utility_DisplayArrayInTable(Scope3_SourceData.Scope3_Feed_Data(), Table_SourceData_Scope3_MixedRations[[#Headers],[Category]], -66, 2)</f>
        <v>0.33300000000000002</v>
      </c>
      <c r="I164" s="19" t="str" cm="1">
        <f t="array" ref="I164">Common_InputFunctions.Utility_DisplayArrayInTable(Scope3_SourceData.Scope3_Feed_Data(), Table_SourceData_Scope3_MixedRations[[#Headers],[Category]], -66, 2)</f>
        <v>at market</v>
      </c>
      <c r="J164" s="19" t="s">
        <v>1169</v>
      </c>
    </row>
    <row r="165" spans="4:14" ht="20.100000000000001" customHeight="1" x14ac:dyDescent="0.2">
      <c r="D165" s="19" t="str" cm="1">
        <f t="array" ref="D165">Common_InputFunctions.Utility_DisplayArrayInTable(Scope3_SourceData.Scope3_Feed_Data(), Table_SourceData_Scope3_MixedRations[[#Headers],[Category]], -66, 2)</f>
        <v>Mixed rations</v>
      </c>
      <c r="E165" s="19" t="str" cm="1">
        <f t="array" ref="E165">Common_InputFunctions.Utility_DisplayArrayInTable(Scope3_SourceData.Scope3_Feed_Data(), Table_SourceData_Scope3_MixedRations[[#Headers],[Category]], -66, 2)</f>
        <v>Feed for pigs</v>
      </c>
      <c r="F165" s="19" t="str" cm="1">
        <f t="array" ref="F165">Common_InputFunctions.Utility_DisplayArrayInTable(Scope3_SourceData.Scope3_Feed_Data(), Table_SourceData_Scope3_MixedRations[[#Headers],[Category]], -66, 2)</f>
        <v>Australia</v>
      </c>
      <c r="G165" s="19" t="str" cm="1">
        <f t="array" ref="G165">Common_InputFunctions.Utility_DisplayArrayInTable(Scope3_SourceData.Scope3_Feed_Data(), Table_SourceData_Scope3_MixedRations[[#Headers],[Category]], -66, 2)</f>
        <v>kg</v>
      </c>
      <c r="H165" s="19" cm="1">
        <f t="array" ref="H165">Common_InputFunctions.Utility_DisplayArrayInTable(Scope3_SourceData.Scope3_Feed_Data(), Table_SourceData_Scope3_MixedRations[[#Headers],[Category]], -66, 2)</f>
        <v>0.40300000000000002</v>
      </c>
      <c r="I165" s="19" t="str" cm="1">
        <f t="array" ref="I165">Common_InputFunctions.Utility_DisplayArrayInTable(Scope3_SourceData.Scope3_Feed_Data(), Table_SourceData_Scope3_MixedRations[[#Headers],[Category]], -66, 2)</f>
        <v>at market</v>
      </c>
      <c r="J165" s="19" t="s">
        <v>1169</v>
      </c>
    </row>
    <row r="167" spans="4:14" ht="20.100000000000001" customHeight="1" x14ac:dyDescent="0.2">
      <c r="D167" s="19" t="s">
        <v>1162</v>
      </c>
      <c r="E167" s="19" t="s">
        <v>132</v>
      </c>
      <c r="F167" s="19" t="s">
        <v>1163</v>
      </c>
      <c r="G167" s="19" t="s">
        <v>1164</v>
      </c>
      <c r="H167" s="19" t="s">
        <v>1165</v>
      </c>
      <c r="I167" s="19" t="s">
        <v>1166</v>
      </c>
      <c r="J167" s="19" t="s">
        <v>570</v>
      </c>
    </row>
    <row r="168" spans="4:14" ht="20.100000000000001" customHeight="1" x14ac:dyDescent="0.2">
      <c r="D168" s="19" t="str" cm="1">
        <f t="array" ref="D168">Common_InputFunctions.Utility_DisplayArrayInTable(Scope3_SourceData.Scope3_Feed_Data(), Table_SourceData_Scope3_LickBlocks[[#Headers],[Category]], -73, 2)</f>
        <v>Other</v>
      </c>
      <c r="E168" s="19" t="str" cm="1">
        <f t="array" ref="E168">Common_InputFunctions.Utility_DisplayArrayInTable(Scope3_SourceData.Scope3_Feed_Data(), Table_SourceData_Scope3_LickBlocks[[#Headers],[Category]], -73, 2)</f>
        <v>Lick block, dry season mix</v>
      </c>
      <c r="F168" s="19" t="str" cm="1">
        <f t="array" ref="F168">Common_InputFunctions.Utility_DisplayArrayInTable(Scope3_SourceData.Scope3_Feed_Data(), Table_SourceData_Scope3_LickBlocks[[#Headers],[Category]], -73, 2)</f>
        <v>Australia</v>
      </c>
      <c r="G168" s="19" t="str" cm="1">
        <f t="array" ref="G168">Common_InputFunctions.Utility_DisplayArrayInTable(Scope3_SourceData.Scope3_Feed_Data(), Table_SourceData_Scope3_LickBlocks[[#Headers],[Category]], -73, 2)</f>
        <v>kg</v>
      </c>
      <c r="H168" s="19" cm="1">
        <f t="array" ref="H168">Common_InputFunctions.Utility_DisplayArrayInTable(Scope3_SourceData.Scope3_Feed_Data(), Table_SourceData_Scope3_LickBlocks[[#Headers],[Category]], -73, 2)</f>
        <v>0.88100000000000001</v>
      </c>
      <c r="I168" s="19" t="str" cm="1">
        <f t="array" ref="I168">Common_InputFunctions.Utility_DisplayArrayInTable(Scope3_SourceData.Scope3_Feed_Data(), Table_SourceData_Scope3_LickBlocks[[#Headers],[Category]], -73, 2)</f>
        <v>at market</v>
      </c>
      <c r="J168" s="19" t="s">
        <v>1169</v>
      </c>
    </row>
    <row r="169" spans="4:14" ht="20.100000000000001" customHeight="1" x14ac:dyDescent="0.2">
      <c r="D169" s="19" t="str" cm="1">
        <f t="array" ref="D169">Common_InputFunctions.Utility_DisplayArrayInTable(Scope3_SourceData.Scope3_Feed_Data(), Table_SourceData_Scope3_LickBlocks[[#Headers],[Category]], -73, 2)</f>
        <v>Other</v>
      </c>
      <c r="E169" s="19" t="str" cm="1">
        <f t="array" ref="E169">Common_InputFunctions.Utility_DisplayArrayInTable(Scope3_SourceData.Scope3_Feed_Data(), Table_SourceData_Scope3_LickBlocks[[#Headers],[Category]], -73, 2)</f>
        <v>Lick block, mineral</v>
      </c>
      <c r="F169" s="19" t="str" cm="1">
        <f t="array" ref="F169">Common_InputFunctions.Utility_DisplayArrayInTable(Scope3_SourceData.Scope3_Feed_Data(), Table_SourceData_Scope3_LickBlocks[[#Headers],[Category]], -73, 2)</f>
        <v>Australia</v>
      </c>
      <c r="G169" s="19" t="str" cm="1">
        <f t="array" ref="G169">Common_InputFunctions.Utility_DisplayArrayInTable(Scope3_SourceData.Scope3_Feed_Data(), Table_SourceData_Scope3_LickBlocks[[#Headers],[Category]], -73, 2)</f>
        <v>kg</v>
      </c>
      <c r="H169" s="19" cm="1">
        <f t="array" ref="H169">Common_InputFunctions.Utility_DisplayArrayInTable(Scope3_SourceData.Scope3_Feed_Data(), Table_SourceData_Scope3_LickBlocks[[#Headers],[Category]], -73, 2)</f>
        <v>0.67700000000000005</v>
      </c>
      <c r="I169" s="19" t="str" cm="1">
        <f t="array" ref="I169">Common_InputFunctions.Utility_DisplayArrayInTable(Scope3_SourceData.Scope3_Feed_Data(), Table_SourceData_Scope3_LickBlocks[[#Headers],[Category]], -73, 2)</f>
        <v>at market</v>
      </c>
      <c r="J169" s="19" t="s">
        <v>1169</v>
      </c>
    </row>
    <row r="170" spans="4:14" ht="20.100000000000001" customHeight="1" x14ac:dyDescent="0.2">
      <c r="D170" s="19" t="str" cm="1">
        <f t="array" ref="D170">Common_InputFunctions.Utility_DisplayArrayInTable(Scope3_SourceData.Scope3_Feed_Data(), Table_SourceData_Scope3_LickBlocks[[#Headers],[Category]], -73, 2)</f>
        <v>Other</v>
      </c>
      <c r="E170" s="19" t="str" cm="1">
        <f t="array" ref="E170">Common_InputFunctions.Utility_DisplayArrayInTable(Scope3_SourceData.Scope3_Feed_Data(), Table_SourceData_Scope3_LickBlocks[[#Headers],[Category]], -73, 2)</f>
        <v>Lick block, weaner</v>
      </c>
      <c r="F170" s="19" t="str" cm="1">
        <f t="array" ref="F170">Common_InputFunctions.Utility_DisplayArrayInTable(Scope3_SourceData.Scope3_Feed_Data(), Table_SourceData_Scope3_LickBlocks[[#Headers],[Category]], -73, 2)</f>
        <v>Australia</v>
      </c>
      <c r="G170" s="19" t="str" cm="1">
        <f t="array" ref="G170">Common_InputFunctions.Utility_DisplayArrayInTable(Scope3_SourceData.Scope3_Feed_Data(), Table_SourceData_Scope3_LickBlocks[[#Headers],[Category]], -73, 2)</f>
        <v>kg</v>
      </c>
      <c r="H170" s="19" cm="1">
        <f t="array" ref="H170">Common_InputFunctions.Utility_DisplayArrayInTable(Scope3_SourceData.Scope3_Feed_Data(), Table_SourceData_Scope3_LickBlocks[[#Headers],[Category]], -73, 2)</f>
        <v>0.23100000000000001</v>
      </c>
      <c r="I170" s="19" t="str" cm="1">
        <f t="array" ref="I170">Common_InputFunctions.Utility_DisplayArrayInTable(Scope3_SourceData.Scope3_Feed_Data(), Table_SourceData_Scope3_LickBlocks[[#Headers],[Category]], -73, 2)</f>
        <v>at market</v>
      </c>
      <c r="J170" s="19" t="s">
        <v>1169</v>
      </c>
    </row>
    <row r="172" spans="4:14" ht="20.100000000000001" customHeight="1" x14ac:dyDescent="0.2">
      <c r="D172" s="2" t="s">
        <v>1181</v>
      </c>
    </row>
    <row r="173" spans="4:14" ht="20.100000000000001" customHeight="1" x14ac:dyDescent="0.2">
      <c r="D173" s="19" t="s">
        <v>1162</v>
      </c>
      <c r="E173" s="19" t="s">
        <v>132</v>
      </c>
      <c r="F173" s="19" t="s">
        <v>1163</v>
      </c>
      <c r="G173" s="19" t="s">
        <v>819</v>
      </c>
      <c r="H173" s="19" t="s">
        <v>712</v>
      </c>
      <c r="I173" s="19" t="s">
        <v>713</v>
      </c>
      <c r="J173" s="19" t="s">
        <v>1182</v>
      </c>
      <c r="K173" s="19" t="s">
        <v>1164</v>
      </c>
      <c r="L173" s="19" t="s">
        <v>1165</v>
      </c>
      <c r="M173" s="19" t="s">
        <v>1166</v>
      </c>
      <c r="N173" s="19" t="s">
        <v>570</v>
      </c>
    </row>
    <row r="174" spans="4:14" ht="20.100000000000001" customHeight="1" x14ac:dyDescent="0.2">
      <c r="D174" s="19" t="str" cm="1">
        <f t="array" ref="D174">Common_InputFunctions.Utility_DisplayArrayInTable(Scope3_SourceData.Scope3_InorganicFertilisers_Data(), Table_SourceData_Scope3_InorganicFertiliser[[#Headers],[Category]], 0, 2)</f>
        <v>Inorganic fertilisers</v>
      </c>
      <c r="E174" s="19" t="str" cm="1">
        <f t="array" ref="E174">Common_InputFunctions.Utility_DisplayArrayInTable(Scope3_SourceData.Scope3_InorganicFertilisers_Data(), Table_SourceData_Scope3_InorganicFertiliser[[#Headers],[Category]], 0, 2)</f>
        <v>Ammonia, AU market mix</v>
      </c>
      <c r="F174" s="19" t="str" cm="1">
        <f t="array" ref="F174">Common_InputFunctions.Utility_DisplayArrayInTable(Scope3_SourceData.Scope3_InorganicFertilisers_Data(), Table_SourceData_Scope3_InorganicFertiliser[[#Headers],[Category]], 0, 2)</f>
        <v>Global</v>
      </c>
      <c r="G174" s="19" t="str">
        <f>'Constants - Fertiliser'!$D$37</f>
        <v>Ammonia</v>
      </c>
      <c r="H174" s="19"/>
      <c r="I174" s="19" t="str">
        <f>'Constants - Fertiliser'!$V$20</f>
        <v>Global</v>
      </c>
      <c r="J174" s="19"/>
      <c r="K174" s="19" t="str" cm="1">
        <f t="array" ref="K174">Common_InputFunctions.Utility_DisplayArrayInTable(Scope3_SourceData.Scope3_InorganicFertilisers_Data(), Table_SourceData_Scope3_InorganicFertiliser[[#Headers],[Category]], 0, -2)</f>
        <v>kg</v>
      </c>
      <c r="L174" s="19" cm="1">
        <f t="array" ref="L174">Common_InputFunctions.Utility_DisplayArrayInTable(Scope3_SourceData.Scope3_InorganicFertilisers_Data(), Table_SourceData_Scope3_InorganicFertiliser[[#Headers],[Category]], 0, -2)</f>
        <v>2.3199999999999998</v>
      </c>
      <c r="M174" s="19" t="str" cm="1">
        <f t="array" ref="M174">Common_InputFunctions.Utility_DisplayArrayInTable(Scope3_SourceData.Scope3_InorganicFertilisers_Data(), Table_SourceData_Scope3_InorganicFertiliser[[#Headers],[Category]], 0, -2)</f>
        <v>at market</v>
      </c>
      <c r="N174" s="19" t="s">
        <v>1169</v>
      </c>
    </row>
    <row r="175" spans="4:14" ht="20.100000000000001" customHeight="1" x14ac:dyDescent="0.2">
      <c r="D175" s="19" t="str" cm="1">
        <f t="array" ref="D175">Common_InputFunctions.Utility_DisplayArrayInTable(Scope3_SourceData.Scope3_InorganicFertilisers_Data(), Table_SourceData_Scope3_InorganicFertiliser[[#Headers],[Category]], 0, 2)</f>
        <v>Inorganic fertilisers</v>
      </c>
      <c r="E175" s="19" t="str" cm="1">
        <f t="array" ref="E175">Common_InputFunctions.Utility_DisplayArrayInTable(Scope3_SourceData.Scope3_InorganicFertilisers_Data(), Table_SourceData_Scope3_InorganicFertiliser[[#Headers],[Category]], 0, 2)</f>
        <v>Ammonia, Canada</v>
      </c>
      <c r="F175" s="19" t="str" cm="1">
        <f t="array" ref="F175">Common_InputFunctions.Utility_DisplayArrayInTable(Scope3_SourceData.Scope3_InorganicFertilisers_Data(), Table_SourceData_Scope3_InorganicFertiliser[[#Headers],[Category]], 0, 2)</f>
        <v>Canada</v>
      </c>
      <c r="G175" s="19" t="str">
        <f>'Constants - Fertiliser'!$D$37</f>
        <v>Ammonia</v>
      </c>
      <c r="H175" s="19"/>
      <c r="I175" s="19" t="str">
        <f>'Constants - Fertiliser'!$V$21</f>
        <v>Canada</v>
      </c>
      <c r="J175" s="19"/>
      <c r="K175" s="19" t="str" cm="1">
        <f t="array" ref="K175">Common_InputFunctions.Utility_DisplayArrayInTable(Scope3_SourceData.Scope3_InorganicFertilisers_Data(), Table_SourceData_Scope3_InorganicFertiliser[[#Headers],[Category]], 0, -2)</f>
        <v>kg</v>
      </c>
      <c r="L175" s="19" cm="1">
        <f t="array" ref="L175">Common_InputFunctions.Utility_DisplayArrayInTable(Scope3_SourceData.Scope3_InorganicFertilisers_Data(), Table_SourceData_Scope3_InorganicFertiliser[[#Headers],[Category]], 0, -2)</f>
        <v>2.12</v>
      </c>
      <c r="M175" s="19" t="str" cm="1">
        <f t="array" ref="M175">Common_InputFunctions.Utility_DisplayArrayInTable(Scope3_SourceData.Scope3_InorganicFertilisers_Data(), Table_SourceData_Scope3_InorganicFertiliser[[#Headers],[Category]], 0, -2)</f>
        <v>at market</v>
      </c>
      <c r="N175" s="19" t="s">
        <v>1169</v>
      </c>
    </row>
    <row r="176" spans="4:14" ht="20.100000000000001" customHeight="1" x14ac:dyDescent="0.2">
      <c r="D176" s="19" t="str" cm="1">
        <f t="array" ref="D176">Common_InputFunctions.Utility_DisplayArrayInTable(Scope3_SourceData.Scope3_InorganicFertilisers_Data(), Table_SourceData_Scope3_InorganicFertiliser[[#Headers],[Category]], 0, 2)</f>
        <v>Inorganic fertilisers</v>
      </c>
      <c r="E176" s="19" t="str" cm="1">
        <f t="array" ref="E176">Common_InputFunctions.Utility_DisplayArrayInTable(Scope3_SourceData.Scope3_InorganicFertilisers_Data(), Table_SourceData_Scope3_InorganicFertiliser[[#Headers],[Category]], 0, 2)</f>
        <v>Ammonia, China</v>
      </c>
      <c r="F176" s="19" t="str" cm="1">
        <f t="array" ref="F176">Common_InputFunctions.Utility_DisplayArrayInTable(Scope3_SourceData.Scope3_InorganicFertilisers_Data(), Table_SourceData_Scope3_InorganicFertiliser[[#Headers],[Category]], 0, 2)</f>
        <v>China</v>
      </c>
      <c r="G176" s="19" t="str">
        <f>'Constants - Fertiliser'!$D$37</f>
        <v>Ammonia</v>
      </c>
      <c r="H176" s="19"/>
      <c r="I176" s="19" t="str">
        <f>'Constants - Fertiliser'!$V$22</f>
        <v>China</v>
      </c>
      <c r="J176" s="19"/>
      <c r="K176" s="19" t="str" cm="1">
        <f t="array" ref="K176">Common_InputFunctions.Utility_DisplayArrayInTable(Scope3_SourceData.Scope3_InorganicFertilisers_Data(), Table_SourceData_Scope3_InorganicFertiliser[[#Headers],[Category]], 0, -2)</f>
        <v>kg</v>
      </c>
      <c r="L176" s="19" cm="1">
        <f t="array" ref="L176">Common_InputFunctions.Utility_DisplayArrayInTable(Scope3_SourceData.Scope3_InorganicFertilisers_Data(), Table_SourceData_Scope3_InorganicFertiliser[[#Headers],[Category]], 0, -2)</f>
        <v>4.17</v>
      </c>
      <c r="M176" s="19" t="str" cm="1">
        <f t="array" ref="M176">Common_InputFunctions.Utility_DisplayArrayInTable(Scope3_SourceData.Scope3_InorganicFertilisers_Data(), Table_SourceData_Scope3_InorganicFertiliser[[#Headers],[Category]], 0, -2)</f>
        <v>at market</v>
      </c>
      <c r="N176" s="19" t="s">
        <v>1169</v>
      </c>
    </row>
    <row r="177" spans="1:14" ht="20.100000000000001" customHeight="1" x14ac:dyDescent="0.2">
      <c r="D177" s="19" t="str" cm="1">
        <f t="array" ref="D177">Common_InputFunctions.Utility_DisplayArrayInTable(Scope3_SourceData.Scope3_InorganicFertilisers_Data(), Table_SourceData_Scope3_InorganicFertiliser[[#Headers],[Category]], 0, 2)</f>
        <v>Inorganic fertilisers</v>
      </c>
      <c r="E177" s="19" t="str" cm="1">
        <f t="array" ref="E177">Common_InputFunctions.Utility_DisplayArrayInTable(Scope3_SourceData.Scope3_InorganicFertilisers_Data(), Table_SourceData_Scope3_InorganicFertiliser[[#Headers],[Category]], 0, 2)</f>
        <v>Ammonia, Yemen</v>
      </c>
      <c r="F177" s="19" t="str" cm="1">
        <f t="array" ref="F177">Common_InputFunctions.Utility_DisplayArrayInTable(Scope3_SourceData.Scope3_InorganicFertilisers_Data(), Table_SourceData_Scope3_InorganicFertiliser[[#Headers],[Category]], 0, 2)</f>
        <v>Yemen</v>
      </c>
      <c r="G177" s="19" t="str">
        <f>'Constants - Fertiliser'!$D$37</f>
        <v>Ammonia</v>
      </c>
      <c r="H177" s="19"/>
      <c r="I177" s="19" t="str">
        <f>'Constants - Fertiliser'!$V$23</f>
        <v>Yemen</v>
      </c>
      <c r="J177" s="19"/>
      <c r="K177" s="19" t="str" cm="1">
        <f t="array" ref="K177">Common_InputFunctions.Utility_DisplayArrayInTable(Scope3_SourceData.Scope3_InorganicFertilisers_Data(), Table_SourceData_Scope3_InorganicFertiliser[[#Headers],[Category]], 0, -2)</f>
        <v>kg</v>
      </c>
      <c r="L177" s="19" cm="1">
        <f t="array" ref="L177">Common_InputFunctions.Utility_DisplayArrayInTable(Scope3_SourceData.Scope3_InorganicFertilisers_Data(), Table_SourceData_Scope3_InorganicFertiliser[[#Headers],[Category]], 0, -2)</f>
        <v>2.2599999999999998</v>
      </c>
      <c r="M177" s="19" t="str" cm="1">
        <f t="array" ref="M177">Common_InputFunctions.Utility_DisplayArrayInTable(Scope3_SourceData.Scope3_InorganicFertilisers_Data(), Table_SourceData_Scope3_InorganicFertiliser[[#Headers],[Category]], 0, -2)</f>
        <v>at market</v>
      </c>
      <c r="N177" s="19" t="s">
        <v>1169</v>
      </c>
    </row>
    <row r="178" spans="1:14" ht="20.100000000000001" customHeight="1" x14ac:dyDescent="0.2">
      <c r="D178" s="19" t="str" cm="1">
        <f t="array" ref="D178">Common_InputFunctions.Utility_DisplayArrayInTable(Scope3_SourceData.Scope3_InorganicFertilisers_Data(), Table_SourceData_Scope3_InorganicFertiliser[[#Headers],[Category]], 0, 2)</f>
        <v>Inorganic fertilisers</v>
      </c>
      <c r="E178" s="19" t="str" cm="1">
        <f t="array" ref="E178">Common_InputFunctions.Utility_DisplayArrayInTable(Scope3_SourceData.Scope3_InorganicFertilisers_Data(), Table_SourceData_Scope3_InorganicFertiliser[[#Headers],[Category]], 0, 2)</f>
        <v>Ammonium nitrate, AU market mix</v>
      </c>
      <c r="F178" s="19" t="str" cm="1">
        <f t="array" ref="F178">Common_InputFunctions.Utility_DisplayArrayInTable(Scope3_SourceData.Scope3_InorganicFertilisers_Data(), Table_SourceData_Scope3_InorganicFertiliser[[#Headers],[Category]], 0, 2)</f>
        <v>Global</v>
      </c>
      <c r="G178" s="19" t="str">
        <f>'Constants - Fertiliser'!$D$25</f>
        <v>Ammonium nitrate (AN)</v>
      </c>
      <c r="H178" s="19"/>
      <c r="I178" s="19"/>
      <c r="J178" s="19"/>
      <c r="K178" s="19" t="str" cm="1">
        <f t="array" ref="K178">Common_InputFunctions.Utility_DisplayArrayInTable(Scope3_SourceData.Scope3_InorganicFertilisers_Data(), Table_SourceData_Scope3_InorganicFertiliser[[#Headers],[Category]], 0, -2)</f>
        <v>kg</v>
      </c>
      <c r="L178" s="19" cm="1">
        <f t="array" ref="L178">Common_InputFunctions.Utility_DisplayArrayInTable(Scope3_SourceData.Scope3_InorganicFertilisers_Data(), Table_SourceData_Scope3_InorganicFertiliser[[#Headers],[Category]], 0, -2)</f>
        <v>2.21</v>
      </c>
      <c r="M178" s="19" t="str" cm="1">
        <f t="array" ref="M178">Common_InputFunctions.Utility_DisplayArrayInTable(Scope3_SourceData.Scope3_InorganicFertilisers_Data(), Table_SourceData_Scope3_InorganicFertiliser[[#Headers],[Category]], 0, -2)</f>
        <v>at market</v>
      </c>
      <c r="N178" s="19" t="s">
        <v>1169</v>
      </c>
    </row>
    <row r="179" spans="1:14" ht="20.100000000000001" customHeight="1" x14ac:dyDescent="0.2">
      <c r="D179" s="19" t="str" cm="1">
        <f t="array" ref="D179">Common_InputFunctions.Utility_DisplayArrayInTable(Scope3_SourceData.Scope3_InorganicFertilisers_Data(), Table_SourceData_Scope3_InorganicFertiliser[[#Headers],[Category]], 0, 2)</f>
        <v>Inorganic fertilisers</v>
      </c>
      <c r="E179" s="19" t="str" cm="1">
        <f t="array" ref="E179">Common_InputFunctions.Utility_DisplayArrayInTable(Scope3_SourceData.Scope3_InorganicFertilisers_Data(), Table_SourceData_Scope3_InorganicFertiliser[[#Headers],[Category]], 0, 2)</f>
        <v>Calcium ammonium nitrate, AU market mix</v>
      </c>
      <c r="F179" s="19" t="str" cm="1">
        <f t="array" ref="F179">Common_InputFunctions.Utility_DisplayArrayInTable(Scope3_SourceData.Scope3_InorganicFertilisers_Data(), Table_SourceData_Scope3_InorganicFertiliser[[#Headers],[Category]], 0, 2)</f>
        <v>Global</v>
      </c>
      <c r="G179" s="19" t="str">
        <f>'Constants - Fertiliser'!$D$26</f>
        <v>Calcium ammonium nitrate (CAN)</v>
      </c>
      <c r="H179" s="19"/>
      <c r="I179" s="19"/>
      <c r="J179" s="19"/>
      <c r="K179" s="19" t="str" cm="1">
        <f t="array" ref="K179">Common_InputFunctions.Utility_DisplayArrayInTable(Scope3_SourceData.Scope3_InorganicFertilisers_Data(), Table_SourceData_Scope3_InorganicFertiliser[[#Headers],[Category]], 0, -2)</f>
        <v>kg</v>
      </c>
      <c r="L179" s="19" cm="1">
        <f t="array" ref="L179">Common_InputFunctions.Utility_DisplayArrayInTable(Scope3_SourceData.Scope3_InorganicFertilisers_Data(), Table_SourceData_Scope3_InorganicFertiliser[[#Headers],[Category]], 0, -2)</f>
        <v>1.1499999999999999</v>
      </c>
      <c r="M179" s="19" t="str" cm="1">
        <f t="array" ref="M179">Common_InputFunctions.Utility_DisplayArrayInTable(Scope3_SourceData.Scope3_InorganicFertilisers_Data(), Table_SourceData_Scope3_InorganicFertiliser[[#Headers],[Category]], 0, -2)</f>
        <v>at market</v>
      </c>
      <c r="N179" s="19" t="s">
        <v>1169</v>
      </c>
    </row>
    <row r="180" spans="1:14" ht="20.100000000000001" customHeight="1" x14ac:dyDescent="0.2">
      <c r="D180" s="19" t="str" cm="1">
        <f t="array" ref="D180">Common_InputFunctions.Utility_DisplayArrayInTable(Scope3_SourceData.Scope3_InorganicFertilisers_Data(), Table_SourceData_Scope3_InorganicFertiliser[[#Headers],[Category]], 0, 2)</f>
        <v>Inorganic fertilisers</v>
      </c>
      <c r="E180" s="19" t="str" cm="1">
        <f t="array" ref="E180">Common_InputFunctions.Utility_DisplayArrayInTable(Scope3_SourceData.Scope3_InorganicFertilisers_Data(), Table_SourceData_Scope3_InorganicFertiliser[[#Headers],[Category]], 0, 2)</f>
        <v>Calcium nitrate</v>
      </c>
      <c r="F180" s="19" t="str" cm="1">
        <f t="array" ref="F180">Common_InputFunctions.Utility_DisplayArrayInTable(Scope3_SourceData.Scope3_InorganicFertilisers_Data(), Table_SourceData_Scope3_InorganicFertiliser[[#Headers],[Category]], 0, 2)</f>
        <v>Global</v>
      </c>
      <c r="G180" s="19" t="str">
        <f>'Constants - Fertiliser'!$D$38</f>
        <v>Calcium nitrate</v>
      </c>
      <c r="H180" s="19"/>
      <c r="I180" s="19"/>
      <c r="J180" s="19"/>
      <c r="K180" s="19" t="str" cm="1">
        <f t="array" ref="K180">Common_InputFunctions.Utility_DisplayArrayInTable(Scope3_SourceData.Scope3_InorganicFertilisers_Data(), Table_SourceData_Scope3_InorganicFertiliser[[#Headers],[Category]], 0, -2)</f>
        <v>kg</v>
      </c>
      <c r="L180" s="19" cm="1">
        <f t="array" ref="L180">Common_InputFunctions.Utility_DisplayArrayInTable(Scope3_SourceData.Scope3_InorganicFertilisers_Data(), Table_SourceData_Scope3_InorganicFertiliser[[#Headers],[Category]], 0, -2)</f>
        <v>0.75</v>
      </c>
      <c r="M180" s="19" t="str" cm="1">
        <f t="array" ref="M180">Common_InputFunctions.Utility_DisplayArrayInTable(Scope3_SourceData.Scope3_InorganicFertilisers_Data(), Table_SourceData_Scope3_InorganicFertiliser[[#Headers],[Category]], 0, -2)</f>
        <v>at market</v>
      </c>
      <c r="N180" s="19" t="s">
        <v>1169</v>
      </c>
    </row>
    <row r="181" spans="1:14" ht="20.100000000000001" customHeight="1" x14ac:dyDescent="0.2">
      <c r="D181" s="19" t="str" cm="1">
        <f t="array" ref="D181">Common_InputFunctions.Utility_DisplayArrayInTable(Scope3_SourceData.Scope3_InorganicFertilisers_Data(), Table_SourceData_Scope3_InorganicFertiliser[[#Headers],[Category]], 0, 2)</f>
        <v>Inorganic fertilisers</v>
      </c>
      <c r="E181" s="19" t="str" cm="1">
        <f t="array" ref="E181">Common_InputFunctions.Utility_DisplayArrayInTable(Scope3_SourceData.Scope3_InorganicFertilisers_Data(), Table_SourceData_Scope3_InorganicFertiliser[[#Headers],[Category]], 0, 2)</f>
        <v>Diammonium phosphate, AU market mix</v>
      </c>
      <c r="F181" s="19" t="str" cm="1">
        <f t="array" ref="F181">Common_InputFunctions.Utility_DisplayArrayInTable(Scope3_SourceData.Scope3_InorganicFertilisers_Data(), Table_SourceData_Scope3_InorganicFertiliser[[#Headers],[Category]], 0, 2)</f>
        <v>Global</v>
      </c>
      <c r="G181" s="19" t="str">
        <f>'Constants - Fertiliser'!$D$21</f>
        <v>Diammonium phosphate (DAP)</v>
      </c>
      <c r="H181" s="19"/>
      <c r="I181" s="19"/>
      <c r="J181" s="19"/>
      <c r="K181" s="19" t="str" cm="1">
        <f t="array" ref="K181">Common_InputFunctions.Utility_DisplayArrayInTable(Scope3_SourceData.Scope3_InorganicFertilisers_Data(), Table_SourceData_Scope3_InorganicFertiliser[[#Headers],[Category]], 0, -2)</f>
        <v>kg</v>
      </c>
      <c r="L181" s="19" cm="1">
        <f t="array" ref="L181">Common_InputFunctions.Utility_DisplayArrayInTable(Scope3_SourceData.Scope3_InorganicFertilisers_Data(), Table_SourceData_Scope3_InorganicFertiliser[[#Headers],[Category]], 0, -2)</f>
        <v>1.34</v>
      </c>
      <c r="M181" s="19" t="str" cm="1">
        <f t="array" ref="M181">Common_InputFunctions.Utility_DisplayArrayInTable(Scope3_SourceData.Scope3_InorganicFertilisers_Data(), Table_SourceData_Scope3_InorganicFertiliser[[#Headers],[Category]], 0, -2)</f>
        <v>at market</v>
      </c>
      <c r="N181" s="19" t="s">
        <v>1169</v>
      </c>
    </row>
    <row r="182" spans="1:14" ht="20.100000000000001" customHeight="1" x14ac:dyDescent="0.2">
      <c r="D182" s="19" t="str" cm="1">
        <f t="array" ref="D182">Common_InputFunctions.Utility_DisplayArrayInTable(Scope3_SourceData.Scope3_InorganicFertilisers_Data(), Table_SourceData_Scope3_InorganicFertiliser[[#Headers],[Category]], 0, 2)</f>
        <v>Inorganic fertilisers</v>
      </c>
      <c r="E182" s="19" t="str" cm="1">
        <f t="array" ref="E182">Common_InputFunctions.Utility_DisplayArrayInTable(Scope3_SourceData.Scope3_InorganicFertilisers_Data(), Table_SourceData_Scope3_InorganicFertiliser[[#Headers],[Category]], 0, 2)</f>
        <v>Double superphosphate, AU market mix</v>
      </c>
      <c r="F182" s="19" t="str" cm="1">
        <f t="array" ref="F182">Common_InputFunctions.Utility_DisplayArrayInTable(Scope3_SourceData.Scope3_InorganicFertilisers_Data(), Table_SourceData_Scope3_InorganicFertiliser[[#Headers],[Category]], 0, 2)</f>
        <v>Global</v>
      </c>
      <c r="G182" s="19" t="str">
        <f>'Constants - Fertiliser'!$D$35</f>
        <v>Double superphosphate</v>
      </c>
      <c r="H182" s="19"/>
      <c r="I182" s="19"/>
      <c r="J182" s="19"/>
      <c r="K182" s="19" t="str" cm="1">
        <f t="array" ref="K182">Common_InputFunctions.Utility_DisplayArrayInTable(Scope3_SourceData.Scope3_InorganicFertilisers_Data(), Table_SourceData_Scope3_InorganicFertiliser[[#Headers],[Category]], 0, -2)</f>
        <v>kg</v>
      </c>
      <c r="L182" s="19" cm="1">
        <f t="array" ref="L182">Common_InputFunctions.Utility_DisplayArrayInTable(Scope3_SourceData.Scope3_InorganicFertilisers_Data(), Table_SourceData_Scope3_InorganicFertiliser[[#Headers],[Category]], 0, -2)</f>
        <v>0.39200000000000002</v>
      </c>
      <c r="M182" s="19" t="str" cm="1">
        <f t="array" ref="M182">Common_InputFunctions.Utility_DisplayArrayInTable(Scope3_SourceData.Scope3_InorganicFertilisers_Data(), Table_SourceData_Scope3_InorganicFertiliser[[#Headers],[Category]], 0, -2)</f>
        <v>at market</v>
      </c>
      <c r="N182" s="19" t="s">
        <v>1169</v>
      </c>
    </row>
    <row r="183" spans="1:14" ht="20.100000000000001" customHeight="1" x14ac:dyDescent="0.2">
      <c r="D183" s="19" t="str" cm="1">
        <f t="array" ref="D183">Common_InputFunctions.Utility_DisplayArrayInTable(Scope3_SourceData.Scope3_InorganicFertilisers_Data(), Table_SourceData_Scope3_InorganicFertiliser[[#Headers],[Category]], 0, 2)</f>
        <v>Inorganic fertilisers</v>
      </c>
      <c r="E183" s="19" t="str" cm="1">
        <f t="array" ref="E183">Common_InputFunctions.Utility_DisplayArrayInTable(Scope3_SourceData.Scope3_InorganicFertilisers_Data(), Table_SourceData_Scope3_InorganicFertiliser[[#Headers],[Category]], 0, 2)</f>
        <v>Monoammonium phosphate, AU market mix</v>
      </c>
      <c r="F183" s="19" t="str" cm="1">
        <f t="array" ref="F183">Common_InputFunctions.Utility_DisplayArrayInTable(Scope3_SourceData.Scope3_InorganicFertilisers_Data(), Table_SourceData_Scope3_InorganicFertiliser[[#Headers],[Category]], 0, 2)</f>
        <v>Global</v>
      </c>
      <c r="G183" s="19" t="str">
        <f>'Constants - Fertiliser'!$D$20</f>
        <v>Monoammonium phosphate (MAP)</v>
      </c>
      <c r="H183" s="19"/>
      <c r="I183" s="19"/>
      <c r="J183" s="19"/>
      <c r="K183" s="19" t="str" cm="1">
        <f t="array" ref="K183">Common_InputFunctions.Utility_DisplayArrayInTable(Scope3_SourceData.Scope3_InorganicFertilisers_Data(), Table_SourceData_Scope3_InorganicFertiliser[[#Headers],[Category]], 0, -2)</f>
        <v>kg</v>
      </c>
      <c r="L183" s="19" cm="1">
        <f t="array" ref="L183">Common_InputFunctions.Utility_DisplayArrayInTable(Scope3_SourceData.Scope3_InorganicFertilisers_Data(), Table_SourceData_Scope3_InorganicFertiliser[[#Headers],[Category]], 0, -2)</f>
        <v>0.82699999999999996</v>
      </c>
      <c r="M183" s="19" t="str" cm="1">
        <f t="array" ref="M183">Common_InputFunctions.Utility_DisplayArrayInTable(Scope3_SourceData.Scope3_InorganicFertilisers_Data(), Table_SourceData_Scope3_InorganicFertiliser[[#Headers],[Category]], 0, -2)</f>
        <v>at market</v>
      </c>
      <c r="N183" s="19" t="s">
        <v>1169</v>
      </c>
    </row>
    <row r="184" spans="1:14" ht="20.100000000000001" customHeight="1" x14ac:dyDescent="0.2">
      <c r="D184" s="19" t="str" cm="1">
        <f t="array" ref="D184">Common_InputFunctions.Utility_DisplayArrayInTable(Scope3_SourceData.Scope3_InorganicFertilisers_Data(), Table_SourceData_Scope3_InorganicFertiliser[[#Headers],[Category]], 0, 2)</f>
        <v>Inorganic fertilisers</v>
      </c>
      <c r="E184" s="19" t="str" cm="1">
        <f t="array" ref="E184">Common_InputFunctions.Utility_DisplayArrayInTable(Scope3_SourceData.Scope3_InorganicFertilisers_Data(), Table_SourceData_Scope3_InorganicFertiliser[[#Headers],[Category]], 0, 2)</f>
        <v>Muriate of potash, AU market mix</v>
      </c>
      <c r="F184" s="19" t="str" cm="1">
        <f t="array" ref="F184">Common_InputFunctions.Utility_DisplayArrayInTable(Scope3_SourceData.Scope3_InorganicFertilisers_Data(), Table_SourceData_Scope3_InorganicFertiliser[[#Headers],[Category]], 0, 2)</f>
        <v>Global</v>
      </c>
      <c r="G184" s="19" t="str">
        <f>'Constants - Fertiliser'!$D$34</f>
        <v>Muriate of potash (MOP)</v>
      </c>
      <c r="H184" s="19"/>
      <c r="I184" s="19"/>
      <c r="J184" s="19"/>
      <c r="K184" s="19" t="str" cm="1">
        <f t="array" ref="K184">Common_InputFunctions.Utility_DisplayArrayInTable(Scope3_SourceData.Scope3_InorganicFertilisers_Data(), Table_SourceData_Scope3_InorganicFertiliser[[#Headers],[Category]], 0, -2)</f>
        <v>kg</v>
      </c>
      <c r="L184" s="19" cm="1">
        <f t="array" ref="L184">Common_InputFunctions.Utility_DisplayArrayInTable(Scope3_SourceData.Scope3_InorganicFertilisers_Data(), Table_SourceData_Scope3_InorganicFertiliser[[#Headers],[Category]], 0, -2)</f>
        <v>0.54900000000000004</v>
      </c>
      <c r="M184" s="19" t="str" cm="1">
        <f t="array" ref="M184">Common_InputFunctions.Utility_DisplayArrayInTable(Scope3_SourceData.Scope3_InorganicFertilisers_Data(), Table_SourceData_Scope3_InorganicFertiliser[[#Headers],[Category]], 0, -2)</f>
        <v>at market</v>
      </c>
      <c r="N184" s="19" t="s">
        <v>1169</v>
      </c>
    </row>
    <row r="185" spans="1:14" ht="20.100000000000001" customHeight="1" x14ac:dyDescent="0.2">
      <c r="D185" s="19" t="str" cm="1">
        <f t="array" ref="D185">Common_InputFunctions.Utility_DisplayArrayInTable(Scope3_SourceData.Scope3_InorganicFertilisers_Data(), Table_SourceData_Scope3_InorganicFertiliser[[#Headers],[Category]], 0, 2)</f>
        <v>Inorganic fertilisers</v>
      </c>
      <c r="E185" s="19" t="str" cm="1">
        <f t="array" ref="E185">Common_InputFunctions.Utility_DisplayArrayInTable(Scope3_SourceData.Scope3_InorganicFertilisers_Data(), Table_SourceData_Scope3_InorganicFertiliser[[#Headers],[Category]], 0, 2)</f>
        <v>Nitrogen from ammonia, AU market mix</v>
      </c>
      <c r="F185" s="19" t="str" cm="1">
        <f t="array" ref="F185">Common_InputFunctions.Utility_DisplayArrayInTable(Scope3_SourceData.Scope3_InorganicFertilisers_Data(), Table_SourceData_Scope3_InorganicFertiliser[[#Headers],[Category]], 0, 2)</f>
        <v>Global</v>
      </c>
      <c r="G185" s="19" t="str">
        <f>'Constants - Fertiliser'!$D$27</f>
        <v>Nitrogen - Ammoniacal</v>
      </c>
      <c r="H185" s="19"/>
      <c r="I185" s="19"/>
      <c r="J185" s="19"/>
      <c r="K185" s="19" t="str" cm="1">
        <f t="array" ref="K185">Common_InputFunctions.Utility_DisplayArrayInTable(Scope3_SourceData.Scope3_InorganicFertilisers_Data(), Table_SourceData_Scope3_InorganicFertiliser[[#Headers],[Category]], 0, -2)</f>
        <v>kg N</v>
      </c>
      <c r="L185" s="19" cm="1">
        <f t="array" ref="L185">Common_InputFunctions.Utility_DisplayArrayInTable(Scope3_SourceData.Scope3_InorganicFertilisers_Data(), Table_SourceData_Scope3_InorganicFertiliser[[#Headers],[Category]], 0, -2)</f>
        <v>2.83</v>
      </c>
      <c r="M185" s="19" t="str" cm="1">
        <f t="array" ref="M185">Common_InputFunctions.Utility_DisplayArrayInTable(Scope3_SourceData.Scope3_InorganicFertilisers_Data(), Table_SourceData_Scope3_InorganicFertiliser[[#Headers],[Category]], 0, -2)</f>
        <v>at market</v>
      </c>
      <c r="N185" s="19" t="s">
        <v>1169</v>
      </c>
    </row>
    <row r="186" spans="1:14" ht="20.100000000000001" customHeight="1" x14ac:dyDescent="0.2">
      <c r="D186" s="19" t="str" cm="1">
        <f t="array" ref="D186">Common_InputFunctions.Utility_DisplayArrayInTable(Scope3_SourceData.Scope3_InorganicFertilisers_Data(), Table_SourceData_Scope3_InorganicFertiliser[[#Headers],[Category]], 0, 2)</f>
        <v>Inorganic fertilisers</v>
      </c>
      <c r="E186" s="19" t="str" cm="1">
        <f t="array" ref="E186">Common_InputFunctions.Utility_DisplayArrayInTable(Scope3_SourceData.Scope3_InorganicFertilisers_Data(), Table_SourceData_Scope3_InorganicFertiliser[[#Headers],[Category]], 0, 2)</f>
        <v>Nitrogen from fertilizer, AU market mix</v>
      </c>
      <c r="F186" s="19" t="str" cm="1">
        <f t="array" ref="F186">Common_InputFunctions.Utility_DisplayArrayInTable(Scope3_SourceData.Scope3_InorganicFertilisers_Data(), Table_SourceData_Scope3_InorganicFertiliser[[#Headers],[Category]], 0, 2)</f>
        <v>Global</v>
      </c>
      <c r="G186" s="19" t="str">
        <f>'Constants - Fertiliser'!$D$29</f>
        <v>Nitrogen - Generic</v>
      </c>
      <c r="H186" s="19"/>
      <c r="I186" s="19"/>
      <c r="J186" s="19"/>
      <c r="K186" s="19" t="str" cm="1">
        <f t="array" ref="K186">Common_InputFunctions.Utility_DisplayArrayInTable(Scope3_SourceData.Scope3_InorganicFertilisers_Data(), Table_SourceData_Scope3_InorganicFertiliser[[#Headers],[Category]], 0, -2)</f>
        <v>kg N</v>
      </c>
      <c r="L186" s="19" cm="1">
        <f t="array" ref="L186">Common_InputFunctions.Utility_DisplayArrayInTable(Scope3_SourceData.Scope3_InorganicFertilisers_Data(), Table_SourceData_Scope3_InorganicFertiliser[[#Headers],[Category]], 0, -2)</f>
        <v>4.2</v>
      </c>
      <c r="M186" s="19" t="str" cm="1">
        <f t="array" ref="M186">Common_InputFunctions.Utility_DisplayArrayInTable(Scope3_SourceData.Scope3_InorganicFertilisers_Data(), Table_SourceData_Scope3_InorganicFertiliser[[#Headers],[Category]], 0, -2)</f>
        <v>at market</v>
      </c>
      <c r="N186" s="19" t="s">
        <v>1169</v>
      </c>
    </row>
    <row r="187" spans="1:14" ht="20.100000000000001" customHeight="1" x14ac:dyDescent="0.2">
      <c r="D187" s="19" t="str" cm="1">
        <f t="array" ref="D187">Common_InputFunctions.Utility_DisplayArrayInTable(Scope3_SourceData.Scope3_InorganicFertilisers_Data(), Table_SourceData_Scope3_InorganicFertiliser[[#Headers],[Category]], 0, 2)</f>
        <v>Inorganic fertilisers</v>
      </c>
      <c r="E187" s="19" t="str" cm="1">
        <f t="array" ref="E187">Common_InputFunctions.Utility_DisplayArrayInTable(Scope3_SourceData.Scope3_InorganicFertilisers_Data(), Table_SourceData_Scope3_InorganicFertiliser[[#Headers],[Category]], 0, 2)</f>
        <v>Nitrogen from nitrate fertilizer, AU market mix</v>
      </c>
      <c r="F187" s="19" t="str" cm="1">
        <f t="array" ref="F187">Common_InputFunctions.Utility_DisplayArrayInTable(Scope3_SourceData.Scope3_InorganicFertilisers_Data(), Table_SourceData_Scope3_InorganicFertiliser[[#Headers],[Category]], 0, 2)</f>
        <v>Global</v>
      </c>
      <c r="G187" s="19" t="str">
        <f>'Constants - Fertiliser'!$D$28</f>
        <v>Nitrogen - Nitrate</v>
      </c>
      <c r="H187" s="19"/>
      <c r="I187" s="19"/>
      <c r="J187" s="19"/>
      <c r="K187" s="19" t="str" cm="1">
        <f t="array" ref="K187">Common_InputFunctions.Utility_DisplayArrayInTable(Scope3_SourceData.Scope3_InorganicFertilisers_Data(), Table_SourceData_Scope3_InorganicFertiliser[[#Headers],[Category]], 0, -2)</f>
        <v>kg N</v>
      </c>
      <c r="L187" s="19" cm="1">
        <f t="array" ref="L187">Common_InputFunctions.Utility_DisplayArrayInTable(Scope3_SourceData.Scope3_InorganicFertilisers_Data(), Table_SourceData_Scope3_InorganicFertiliser[[#Headers],[Category]], 0, -2)</f>
        <v>5.47</v>
      </c>
      <c r="M187" s="19" t="str" cm="1">
        <f t="array" ref="M187">Common_InputFunctions.Utility_DisplayArrayInTable(Scope3_SourceData.Scope3_InorganicFertilisers_Data(), Table_SourceData_Scope3_InorganicFertiliser[[#Headers],[Category]], 0, -2)</f>
        <v>at market</v>
      </c>
      <c r="N187" s="19" t="s">
        <v>1169</v>
      </c>
    </row>
    <row r="188" spans="1:14" ht="20.100000000000001" customHeight="1" x14ac:dyDescent="0.2">
      <c r="A188" s="79" t="str">
        <f>HYPERLINK("#A1", "▲ Back to top")</f>
        <v>▲ Back to top</v>
      </c>
      <c r="D188" s="19" t="str" cm="1">
        <f t="array" ref="D188">Common_InputFunctions.Utility_DisplayArrayInTable(Scope3_SourceData.Scope3_InorganicFertilisers_Data(), Table_SourceData_Scope3_InorganicFertiliser[[#Headers],[Category]], 0, 2)</f>
        <v>Inorganic fertilisers</v>
      </c>
      <c r="E188" s="19" t="str" cm="1">
        <f t="array" ref="E188">Common_InputFunctions.Utility_DisplayArrayInTable(Scope3_SourceData.Scope3_InorganicFertilisers_Data(), Table_SourceData_Scope3_InorganicFertiliser[[#Headers],[Category]], 0, 2)</f>
        <v>Phosphorus from fertilizer, AU market mix</v>
      </c>
      <c r="F188" s="19" t="str" cm="1">
        <f t="array" ref="F188">Common_InputFunctions.Utility_DisplayArrayInTable(Scope3_SourceData.Scope3_InorganicFertilisers_Data(), Table_SourceData_Scope3_InorganicFertiliser[[#Headers],[Category]], 0, 2)</f>
        <v>Global</v>
      </c>
      <c r="G188" s="19" t="str">
        <f>'Constants - Fertiliser'!$D$30</f>
        <v>Phosphorus - Generic</v>
      </c>
      <c r="H188" s="19"/>
      <c r="I188" s="19"/>
      <c r="J188" s="19"/>
      <c r="K188" s="19" t="str" cm="1">
        <f t="array" ref="K188">Common_InputFunctions.Utility_DisplayArrayInTable(Scope3_SourceData.Scope3_InorganicFertilisers_Data(), Table_SourceData_Scope3_InorganicFertiliser[[#Headers],[Category]], 0, -2)</f>
        <v>kg P</v>
      </c>
      <c r="L188" s="19" cm="1">
        <f t="array" ref="L188">Common_InputFunctions.Utility_DisplayArrayInTable(Scope3_SourceData.Scope3_InorganicFertilisers_Data(), Table_SourceData_Scope3_InorganicFertiliser[[#Headers],[Category]], 0, -2)</f>
        <v>3.96</v>
      </c>
      <c r="M188" s="19" t="str" cm="1">
        <f t="array" ref="M188">Common_InputFunctions.Utility_DisplayArrayInTable(Scope3_SourceData.Scope3_InorganicFertilisers_Data(), Table_SourceData_Scope3_InorganicFertiliser[[#Headers],[Category]], 0, -2)</f>
        <v>at market</v>
      </c>
      <c r="N188" s="19" t="s">
        <v>1169</v>
      </c>
    </row>
    <row r="189" spans="1:14" ht="20.100000000000001" customHeight="1" x14ac:dyDescent="0.2">
      <c r="D189" s="19" t="str" cm="1">
        <f t="array" ref="D189">Common_InputFunctions.Utility_DisplayArrayInTable(Scope3_SourceData.Scope3_InorganicFertilisers_Data(), Table_SourceData_Scope3_InorganicFertiliser[[#Headers],[Category]], 0, 2)</f>
        <v>Inorganic fertilisers</v>
      </c>
      <c r="E189" s="19" t="str" cm="1">
        <f t="array" ref="E189">Common_InputFunctions.Utility_DisplayArrayInTable(Scope3_SourceData.Scope3_InorganicFertilisers_Data(), Table_SourceData_Scope3_InorganicFertiliser[[#Headers],[Category]], 0, 2)</f>
        <v>Potassium from fertilizer, AU market mix</v>
      </c>
      <c r="F189" s="19" t="str" cm="1">
        <f t="array" ref="F189">Common_InputFunctions.Utility_DisplayArrayInTable(Scope3_SourceData.Scope3_InorganicFertilisers_Data(), Table_SourceData_Scope3_InorganicFertiliser[[#Headers],[Category]], 0, 2)</f>
        <v>Global</v>
      </c>
      <c r="G189" s="19" t="str">
        <f>'Constants - Fertiliser'!$D$31</f>
        <v>Potassium - Generic</v>
      </c>
      <c r="H189" s="19"/>
      <c r="I189" s="19"/>
      <c r="J189" s="19"/>
      <c r="K189" s="19" t="str" cm="1">
        <f t="array" ref="K189">Common_InputFunctions.Utility_DisplayArrayInTable(Scope3_SourceData.Scope3_InorganicFertilisers_Data(), Table_SourceData_Scope3_InorganicFertiliser[[#Headers],[Category]], 0, -2)</f>
        <v>kg K</v>
      </c>
      <c r="L189" s="19" cm="1">
        <f t="array" ref="L189">Common_InputFunctions.Utility_DisplayArrayInTable(Scope3_SourceData.Scope3_InorganicFertilisers_Data(), Table_SourceData_Scope3_InorganicFertiliser[[#Headers],[Category]], 0, -2)</f>
        <v>0.90900000000000003</v>
      </c>
      <c r="M189" s="19" t="str" cm="1">
        <f t="array" ref="M189">Common_InputFunctions.Utility_DisplayArrayInTable(Scope3_SourceData.Scope3_InorganicFertilisers_Data(), Table_SourceData_Scope3_InorganicFertiliser[[#Headers],[Category]], 0, -2)</f>
        <v>at market</v>
      </c>
      <c r="N189" s="19" t="s">
        <v>1169</v>
      </c>
    </row>
    <row r="190" spans="1:14" ht="20.100000000000001" customHeight="1" x14ac:dyDescent="0.2">
      <c r="D190" s="19" t="str" cm="1">
        <f t="array" ref="D190">Common_InputFunctions.Utility_DisplayArrayInTable(Scope3_SourceData.Scope3_InorganicFertilisers_Data(), Table_SourceData_Scope3_InorganicFertiliser[[#Headers],[Category]], 0, 2)</f>
        <v>Inorganic fertilisers</v>
      </c>
      <c r="E190" s="19" t="str" cm="1">
        <f t="array" ref="E190">Common_InputFunctions.Utility_DisplayArrayInTable(Scope3_SourceData.Scope3_InorganicFertilisers_Data(), Table_SourceData_Scope3_InorganicFertiliser[[#Headers],[Category]], 0, 2)</f>
        <v>Single superphosphate, AU market mix</v>
      </c>
      <c r="F190" s="19" t="str" cm="1">
        <f t="array" ref="F190">Common_InputFunctions.Utility_DisplayArrayInTable(Scope3_SourceData.Scope3_InorganicFertilisers_Data(), Table_SourceData_Scope3_InorganicFertiliser[[#Headers],[Category]], 0, 2)</f>
        <v>Global</v>
      </c>
      <c r="G190" s="19" t="str">
        <f>'Constants - Fertiliser'!$D$36</f>
        <v>Single superphosphate (SSP)</v>
      </c>
      <c r="H190" s="19"/>
      <c r="I190" s="19"/>
      <c r="J190" s="19"/>
      <c r="K190" s="19" t="str" cm="1">
        <f t="array" ref="K190">Common_InputFunctions.Utility_DisplayArrayInTable(Scope3_SourceData.Scope3_InorganicFertilisers_Data(), Table_SourceData_Scope3_InorganicFertiliser[[#Headers],[Category]], 0, -2)</f>
        <v>kg</v>
      </c>
      <c r="L190" s="19" cm="1">
        <f t="array" ref="L190">Common_InputFunctions.Utility_DisplayArrayInTable(Scope3_SourceData.Scope3_InorganicFertilisers_Data(), Table_SourceData_Scope3_InorganicFertiliser[[#Headers],[Category]], 0, -2)</f>
        <v>0.22700000000000001</v>
      </c>
      <c r="M190" s="19" t="str" cm="1">
        <f t="array" ref="M190">Common_InputFunctions.Utility_DisplayArrayInTable(Scope3_SourceData.Scope3_InorganicFertilisers_Data(), Table_SourceData_Scope3_InorganicFertiliser[[#Headers],[Category]], 0, -2)</f>
        <v>at market</v>
      </c>
      <c r="N190" s="19" t="s">
        <v>1169</v>
      </c>
    </row>
    <row r="191" spans="1:14" ht="20.100000000000001" customHeight="1" x14ac:dyDescent="0.2">
      <c r="D191" s="19" t="str" cm="1">
        <f t="array" ref="D191">Common_InputFunctions.Utility_DisplayArrayInTable(Scope3_SourceData.Scope3_InorganicFertilisers_Data(), Table_SourceData_Scope3_InorganicFertiliser[[#Headers],[Category]], 0, 2)</f>
        <v>Inorganic fertilisers</v>
      </c>
      <c r="E191" s="19" t="str" cm="1">
        <f t="array" ref="E191">Common_InputFunctions.Utility_DisplayArrayInTable(Scope3_SourceData.Scope3_InorganicFertilisers_Data(), Table_SourceData_Scope3_InorganicFertiliser[[#Headers],[Category]], 0, 2)</f>
        <v>Sulfur from fertilizer, AU market mix</v>
      </c>
      <c r="F191" s="19" t="str" cm="1">
        <f t="array" ref="F191">Common_InputFunctions.Utility_DisplayArrayInTable(Scope3_SourceData.Scope3_InorganicFertilisers_Data(), Table_SourceData_Scope3_InorganicFertiliser[[#Headers],[Category]], 0, 2)</f>
        <v>Global</v>
      </c>
      <c r="G191" s="19" t="str">
        <f>'Constants - Fertiliser'!$D$32</f>
        <v>Sulfur - Generic</v>
      </c>
      <c r="H191" s="19"/>
      <c r="I191" s="19"/>
      <c r="J191" s="19"/>
      <c r="K191" s="19" t="str" cm="1">
        <f t="array" ref="K191">Common_InputFunctions.Utility_DisplayArrayInTable(Scope3_SourceData.Scope3_InorganicFertilisers_Data(), Table_SourceData_Scope3_InorganicFertiliser[[#Headers],[Category]], 0, -2)</f>
        <v>kg S</v>
      </c>
      <c r="L191" s="19" cm="1">
        <f t="array" ref="L191">Common_InputFunctions.Utility_DisplayArrayInTable(Scope3_SourceData.Scope3_InorganicFertilisers_Data(), Table_SourceData_Scope3_InorganicFertiliser[[#Headers],[Category]], 0, -2)</f>
        <v>2.5</v>
      </c>
      <c r="M191" s="19" t="str" cm="1">
        <f t="array" ref="M191">Common_InputFunctions.Utility_DisplayArrayInTable(Scope3_SourceData.Scope3_InorganicFertilisers_Data(), Table_SourceData_Scope3_InorganicFertiliser[[#Headers],[Category]], 0, -2)</f>
        <v>at market</v>
      </c>
      <c r="N191" s="19" t="s">
        <v>1169</v>
      </c>
    </row>
    <row r="192" spans="1:14" ht="20.100000000000001" customHeight="1" x14ac:dyDescent="0.2">
      <c r="D192" s="19" t="str" cm="1">
        <f t="array" ref="D192">Common_InputFunctions.Utility_DisplayArrayInTable(Scope3_SourceData.Scope3_InorganicFertilisers_Data(), Table_SourceData_Scope3_InorganicFertiliser[[#Headers],[Category]], 0, 2)</f>
        <v>Inorganic fertilisers</v>
      </c>
      <c r="E192" s="19" t="str" cm="1">
        <f t="array" ref="E192">Common_InputFunctions.Utility_DisplayArrayInTable(Scope3_SourceData.Scope3_InorganicFertilisers_Data(), Table_SourceData_Scope3_InorganicFertiliser[[#Headers],[Category]], 0, 2)</f>
        <v>Ammonium sulphate, AU market mix</v>
      </c>
      <c r="F192" s="19" t="str" cm="1">
        <f t="array" ref="F192">Common_InputFunctions.Utility_DisplayArrayInTable(Scope3_SourceData.Scope3_InorganicFertilisers_Data(), Table_SourceData_Scope3_InorganicFertiliser[[#Headers],[Category]], 0, 2)</f>
        <v>Global</v>
      </c>
      <c r="G192" s="19" t="str">
        <f>'Constants - Fertiliser'!$D$23</f>
        <v>Sulphate of ammonia (SOA)</v>
      </c>
      <c r="H192" s="19"/>
      <c r="I192" s="19"/>
      <c r="J192" s="19"/>
      <c r="K192" s="19" t="str" cm="1">
        <f t="array" ref="K192">Common_InputFunctions.Utility_DisplayArrayInTable(Scope3_SourceData.Scope3_InorganicFertilisers_Data(), Table_SourceData_Scope3_InorganicFertiliser[[#Headers],[Category]], 0, -2)</f>
        <v>kg</v>
      </c>
      <c r="L192" s="19" cm="1">
        <f t="array" ref="L192">Common_InputFunctions.Utility_DisplayArrayInTable(Scope3_SourceData.Scope3_InorganicFertilisers_Data(), Table_SourceData_Scope3_InorganicFertiliser[[#Headers],[Category]], 0, -2)</f>
        <v>0.86499999999999999</v>
      </c>
      <c r="M192" s="19" t="str" cm="1">
        <f t="array" ref="M192">Common_InputFunctions.Utility_DisplayArrayInTable(Scope3_SourceData.Scope3_InorganicFertilisers_Data(), Table_SourceData_Scope3_InorganicFertiliser[[#Headers],[Category]], 0, -2)</f>
        <v>at market</v>
      </c>
      <c r="N192" s="19" t="s">
        <v>1169</v>
      </c>
    </row>
    <row r="193" spans="4:14" ht="20.100000000000001" customHeight="1" x14ac:dyDescent="0.2">
      <c r="D193" s="19" t="str" cm="1">
        <f t="array" ref="D193">Common_InputFunctions.Utility_DisplayArrayInTable(Scope3_SourceData.Scope3_InorganicFertilisers_Data(), Table_SourceData_Scope3_InorganicFertiliser[[#Headers],[Category]], 0, 2)</f>
        <v>Inorganic fertilisers</v>
      </c>
      <c r="E193" s="19" t="str" cm="1">
        <f t="array" ref="E193">Common_InputFunctions.Utility_DisplayArrayInTable(Scope3_SourceData.Scope3_InorganicFertilisers_Data(), Table_SourceData_Scope3_InorganicFertiliser[[#Headers],[Category]], 0, 2)</f>
        <v>Urea ammonium nitrate, AU market mix</v>
      </c>
      <c r="F193" s="19" t="str" cm="1">
        <f t="array" ref="F193">Common_InputFunctions.Utility_DisplayArrayInTable(Scope3_SourceData.Scope3_InorganicFertilisers_Data(), Table_SourceData_Scope3_InorganicFertiliser[[#Headers],[Category]], 0, 2)</f>
        <v>Global</v>
      </c>
      <c r="G193" s="19" t="str">
        <f>'Constants - Fertiliser'!$D$24</f>
        <v>Urea-ammonium nitrate (UAN)</v>
      </c>
      <c r="H193" s="19"/>
      <c r="I193" s="19"/>
      <c r="J193" s="19"/>
      <c r="K193" s="19" t="str" cm="1">
        <f t="array" ref="K193">Common_InputFunctions.Utility_DisplayArrayInTable(Scope3_SourceData.Scope3_InorganicFertilisers_Data(), Table_SourceData_Scope3_InorganicFertiliser[[#Headers],[Category]], 0, -2)</f>
        <v>kg</v>
      </c>
      <c r="L193" s="19" cm="1">
        <f t="array" ref="L193">Common_InputFunctions.Utility_DisplayArrayInTable(Scope3_SourceData.Scope3_InorganicFertilisers_Data(), Table_SourceData_Scope3_InorganicFertiliser[[#Headers],[Category]], 0, -2)</f>
        <v>1.75</v>
      </c>
      <c r="M193" s="19" t="str" cm="1">
        <f t="array" ref="M193">Common_InputFunctions.Utility_DisplayArrayInTable(Scope3_SourceData.Scope3_InorganicFertilisers_Data(), Table_SourceData_Scope3_InorganicFertiliser[[#Headers],[Category]], 0, -2)</f>
        <v>at market</v>
      </c>
      <c r="N193" s="19" t="s">
        <v>1169</v>
      </c>
    </row>
    <row r="194" spans="4:14" ht="20.100000000000001" customHeight="1" x14ac:dyDescent="0.2">
      <c r="D194" s="19" t="str" cm="1">
        <f t="array" ref="D194">Common_InputFunctions.Utility_DisplayArrayInTable(Scope3_SourceData.Scope3_InorganicFertilisers_Data(), Table_SourceData_Scope3_InorganicFertiliser[[#Headers],[Category]], 0, 2)</f>
        <v>Inorganic fertilisers</v>
      </c>
      <c r="E194" s="19" t="str" cm="1">
        <f t="array" ref="E194">Common_InputFunctions.Utility_DisplayArrayInTable(Scope3_SourceData.Scope3_InorganicFertilisers_Data(), Table_SourceData_Scope3_InorganicFertiliser[[#Headers],[Category]], 0, 2)</f>
        <v>Urea, AU market mix</v>
      </c>
      <c r="F194" s="19" t="str" cm="1">
        <f t="array" ref="F194">Common_InputFunctions.Utility_DisplayArrayInTable(Scope3_SourceData.Scope3_InorganicFertilisers_Data(), Table_SourceData_Scope3_InorganicFertiliser[[#Headers],[Category]], 0, 2)</f>
        <v>Global</v>
      </c>
      <c r="G194" s="19" t="str">
        <f>'Constants - Fertiliser'!$D$22</f>
        <v>Urea</v>
      </c>
      <c r="H194" s="19" t="str">
        <f>'Constants - Fertiliser'!$V$20</f>
        <v>Global</v>
      </c>
      <c r="I194" s="19"/>
      <c r="J194" s="19"/>
      <c r="K194" s="19" t="str" cm="1">
        <f t="array" ref="K194">Common_InputFunctions.Utility_DisplayArrayInTable(Scope3_SourceData.Scope3_InorganicFertilisers_Data(), Table_SourceData_Scope3_InorganicFertiliser[[#Headers],[Category]], 0, -2)</f>
        <v>kg</v>
      </c>
      <c r="L194" s="19" cm="1">
        <f t="array" ref="L194">Common_InputFunctions.Utility_DisplayArrayInTable(Scope3_SourceData.Scope3_InorganicFertilisers_Data(), Table_SourceData_Scope3_InorganicFertiliser[[#Headers],[Category]], 0, -2)</f>
        <v>0.96799999999999997</v>
      </c>
      <c r="M194" s="19" t="str" cm="1">
        <f t="array" ref="M194">Common_InputFunctions.Utility_DisplayArrayInTable(Scope3_SourceData.Scope3_InorganicFertilisers_Data(), Table_SourceData_Scope3_InorganicFertiliser[[#Headers],[Category]], 0, -2)</f>
        <v>at market</v>
      </c>
      <c r="N194" s="19" t="s">
        <v>1169</v>
      </c>
    </row>
    <row r="195" spans="4:14" ht="20.100000000000001" customHeight="1" x14ac:dyDescent="0.2">
      <c r="D195" s="19" t="str" cm="1">
        <f t="array" ref="D195">Common_InputFunctions.Utility_DisplayArrayInTable(Scope3_SourceData.Scope3_InorganicFertilisers_Data(), Table_SourceData_Scope3_InorganicFertiliser[[#Headers],[Category]], 0, 2)</f>
        <v>Inorganic fertilisers</v>
      </c>
      <c r="E195" s="19" t="str" cm="1">
        <f t="array" ref="E195">Common_InputFunctions.Utility_DisplayArrayInTable(Scope3_SourceData.Scope3_InorganicFertilisers_Data(), Table_SourceData_Scope3_InorganicFertiliser[[#Headers],[Category]], 0, 2)</f>
        <v>Urea, Canada</v>
      </c>
      <c r="F195" s="19" t="str" cm="1">
        <f t="array" ref="F195">Common_InputFunctions.Utility_DisplayArrayInTable(Scope3_SourceData.Scope3_InorganicFertilisers_Data(), Table_SourceData_Scope3_InorganicFertiliser[[#Headers],[Category]], 0, 2)</f>
        <v>Canada</v>
      </c>
      <c r="G195" s="19" t="str">
        <f>'Constants - Fertiliser'!$D$22</f>
        <v>Urea</v>
      </c>
      <c r="H195" s="19" t="str">
        <f>'Constants - Fertiliser'!$V$21</f>
        <v>Canada</v>
      </c>
      <c r="I195" s="19"/>
      <c r="J195" s="19"/>
      <c r="K195" s="19" t="str" cm="1">
        <f t="array" ref="K195">Common_InputFunctions.Utility_DisplayArrayInTable(Scope3_SourceData.Scope3_InorganicFertilisers_Data(), Table_SourceData_Scope3_InorganicFertiliser[[#Headers],[Category]], 0, -2)</f>
        <v>kg</v>
      </c>
      <c r="L195" s="19" cm="1">
        <f t="array" ref="L195">Common_InputFunctions.Utility_DisplayArrayInTable(Scope3_SourceData.Scope3_InorganicFertilisers_Data(), Table_SourceData_Scope3_InorganicFertiliser[[#Headers],[Category]], 0, -2)</f>
        <v>0.82299999999999995</v>
      </c>
      <c r="M195" s="19" t="str" cm="1">
        <f t="array" ref="M195">Common_InputFunctions.Utility_DisplayArrayInTable(Scope3_SourceData.Scope3_InorganicFertilisers_Data(), Table_SourceData_Scope3_InorganicFertiliser[[#Headers],[Category]], 0, -2)</f>
        <v>at market</v>
      </c>
      <c r="N195" s="19" t="s">
        <v>1169</v>
      </c>
    </row>
    <row r="196" spans="4:14" ht="20.100000000000001" customHeight="1" x14ac:dyDescent="0.2">
      <c r="D196" s="19" t="str" cm="1">
        <f t="array" ref="D196">Common_InputFunctions.Utility_DisplayArrayInTable(Scope3_SourceData.Scope3_InorganicFertilisers_Data(), Table_SourceData_Scope3_InorganicFertiliser[[#Headers],[Category]], 0, 2)</f>
        <v>Inorganic fertilisers</v>
      </c>
      <c r="E196" s="19" t="str" cm="1">
        <f t="array" ref="E196">Common_InputFunctions.Utility_DisplayArrayInTable(Scope3_SourceData.Scope3_InorganicFertilisers_Data(), Table_SourceData_Scope3_InorganicFertiliser[[#Headers],[Category]], 0, 2)</f>
        <v>Urea, China</v>
      </c>
      <c r="F196" s="19" t="str" cm="1">
        <f t="array" ref="F196">Common_InputFunctions.Utility_DisplayArrayInTable(Scope3_SourceData.Scope3_InorganicFertilisers_Data(), Table_SourceData_Scope3_InorganicFertiliser[[#Headers],[Category]], 0, 2)</f>
        <v>China</v>
      </c>
      <c r="G196" s="19" t="str">
        <f>'Constants - Fertiliser'!$D$22</f>
        <v>Urea</v>
      </c>
      <c r="H196" s="19" t="str">
        <f>'Constants - Fertiliser'!$V$22</f>
        <v>China</v>
      </c>
      <c r="I196" s="19"/>
      <c r="J196" s="19"/>
      <c r="K196" s="19" t="str" cm="1">
        <f t="array" ref="K196">Common_InputFunctions.Utility_DisplayArrayInTable(Scope3_SourceData.Scope3_InorganicFertilisers_Data(), Table_SourceData_Scope3_InorganicFertiliser[[#Headers],[Category]], 0, -2)</f>
        <v>kg</v>
      </c>
      <c r="L196" s="19" cm="1">
        <f t="array" ref="L196">Common_InputFunctions.Utility_DisplayArrayInTable(Scope3_SourceData.Scope3_InorganicFertilisers_Data(), Table_SourceData_Scope3_InorganicFertiliser[[#Headers],[Category]], 0, -2)</f>
        <v>2.09</v>
      </c>
      <c r="M196" s="19" t="str" cm="1">
        <f t="array" ref="M196">Common_InputFunctions.Utility_DisplayArrayInTable(Scope3_SourceData.Scope3_InorganicFertilisers_Data(), Table_SourceData_Scope3_InorganicFertiliser[[#Headers],[Category]], 0, -2)</f>
        <v>at market</v>
      </c>
      <c r="N196" s="19" t="s">
        <v>1169</v>
      </c>
    </row>
    <row r="197" spans="4:14" ht="20.100000000000001" customHeight="1" x14ac:dyDescent="0.2">
      <c r="D197" s="19" t="str" cm="1">
        <f t="array" ref="D197">Common_InputFunctions.Utility_DisplayArrayInTable(Scope3_SourceData.Scope3_InorganicFertilisers_Data(), Table_SourceData_Scope3_InorganicFertiliser[[#Headers],[Category]], 0, 2)</f>
        <v>Inorganic fertilisers</v>
      </c>
      <c r="E197" s="19" t="str" cm="1">
        <f t="array" ref="E197">Common_InputFunctions.Utility_DisplayArrayInTable(Scope3_SourceData.Scope3_InorganicFertilisers_Data(), Table_SourceData_Scope3_InorganicFertiliser[[#Headers],[Category]], 0, 2)</f>
        <v>Urea, Yemen</v>
      </c>
      <c r="F197" s="19" t="str" cm="1">
        <f t="array" ref="F197">Common_InputFunctions.Utility_DisplayArrayInTable(Scope3_SourceData.Scope3_InorganicFertilisers_Data(), Table_SourceData_Scope3_InorganicFertiliser[[#Headers],[Category]], 0, 2)</f>
        <v>Yemen</v>
      </c>
      <c r="G197" s="19" t="str">
        <f>'Constants - Fertiliser'!$D$22</f>
        <v>Urea</v>
      </c>
      <c r="H197" s="19" t="str">
        <f>'Constants - Fertiliser'!$V$23</f>
        <v>Yemen</v>
      </c>
      <c r="I197" s="19"/>
      <c r="J197" s="19"/>
      <c r="K197" s="19" t="str" cm="1">
        <f t="array" ref="K197">Common_InputFunctions.Utility_DisplayArrayInTable(Scope3_SourceData.Scope3_InorganicFertilisers_Data(), Table_SourceData_Scope3_InorganicFertiliser[[#Headers],[Category]], 0, -2)</f>
        <v>kg</v>
      </c>
      <c r="L197" s="19" cm="1">
        <f t="array" ref="L197">Common_InputFunctions.Utility_DisplayArrayInTable(Scope3_SourceData.Scope3_InorganicFertilisers_Data(), Table_SourceData_Scope3_InorganicFertiliser[[#Headers],[Category]], 0, -2)</f>
        <v>0.96299999999999997</v>
      </c>
      <c r="M197" s="19" t="str" cm="1">
        <f t="array" ref="M197">Common_InputFunctions.Utility_DisplayArrayInTable(Scope3_SourceData.Scope3_InorganicFertilisers_Data(), Table_SourceData_Scope3_InorganicFertiliser[[#Headers],[Category]], 0, -2)</f>
        <v>at market</v>
      </c>
      <c r="N197" s="19" t="s">
        <v>1169</v>
      </c>
    </row>
    <row r="198" spans="4:14" ht="20.100000000000001" customHeight="1" x14ac:dyDescent="0.2">
      <c r="D198" s="19" t="str" cm="1">
        <f t="array" ref="D198">Common_InputFunctions.Utility_DisplayArrayInTable(Scope3_SourceData.Scope3_InorganicFertilisers_Data(), Table_SourceData_Scope3_InorganicFertiliser[[#Headers],[Category]], 0, 2)</f>
        <v>Inorganic fertilisers</v>
      </c>
      <c r="E198" s="19" t="str" cm="1">
        <f t="array" ref="E198">Common_InputFunctions.Utility_DisplayArrayInTable(Scope3_SourceData.Scope3_InorganicFertilisers_Data(), Table_SourceData_Scope3_InorganicFertiliser[[#Headers],[Category]], 0, 2)</f>
        <v>Zinc from fertilizer</v>
      </c>
      <c r="F198" s="19" t="str" cm="1">
        <f t="array" ref="F198">Common_InputFunctions.Utility_DisplayArrayInTable(Scope3_SourceData.Scope3_InorganicFertilisers_Data(), Table_SourceData_Scope3_InorganicFertiliser[[#Headers],[Category]], 0, 2)</f>
        <v>Global</v>
      </c>
      <c r="G198" s="19" t="str">
        <f>'Constants - Fertiliser'!$D$33</f>
        <v>Zinc - Generic</v>
      </c>
      <c r="H198" s="19"/>
      <c r="I198" s="19"/>
      <c r="J198" s="19"/>
      <c r="K198" s="19" t="str" cm="1">
        <f t="array" ref="K198">Common_InputFunctions.Utility_DisplayArrayInTable(Scope3_SourceData.Scope3_InorganicFertilisers_Data(), Table_SourceData_Scope3_InorganicFertiliser[[#Headers],[Category]], 0, -2)</f>
        <v>kg Zn</v>
      </c>
      <c r="L198" s="19" cm="1">
        <f t="array" ref="L198">Common_InputFunctions.Utility_DisplayArrayInTable(Scope3_SourceData.Scope3_InorganicFertilisers_Data(), Table_SourceData_Scope3_InorganicFertiliser[[#Headers],[Category]], 0, -2)</f>
        <v>4.82</v>
      </c>
      <c r="M198" s="19" t="str" cm="1">
        <f t="array" ref="M198">Common_InputFunctions.Utility_DisplayArrayInTable(Scope3_SourceData.Scope3_InorganicFertilisers_Data(), Table_SourceData_Scope3_InorganicFertiliser[[#Headers],[Category]], 0, -2)</f>
        <v>at market</v>
      </c>
      <c r="N198" s="19" t="s">
        <v>1169</v>
      </c>
    </row>
    <row r="200" spans="4:14" ht="20.100000000000001" customHeight="1" x14ac:dyDescent="0.2">
      <c r="D200" s="2" t="s">
        <v>1183</v>
      </c>
    </row>
    <row r="201" spans="4:14" ht="20.100000000000001" customHeight="1" x14ac:dyDescent="0.2">
      <c r="D201" s="19" t="s">
        <v>1162</v>
      </c>
      <c r="E201" s="19" t="s">
        <v>132</v>
      </c>
      <c r="F201" s="19" t="s">
        <v>1163</v>
      </c>
      <c r="G201" s="19" t="s">
        <v>1164</v>
      </c>
      <c r="H201" s="19" t="s">
        <v>1165</v>
      </c>
      <c r="I201" s="19" t="s">
        <v>1166</v>
      </c>
      <c r="J201" s="19" t="s">
        <v>570</v>
      </c>
    </row>
    <row r="202" spans="4:14" ht="20.100000000000001" customHeight="1" x14ac:dyDescent="0.2">
      <c r="D202" s="19" t="str" cm="1">
        <f t="array" ref="D202">Common_InputFunctions.Utility_DisplayArrayInTable(Scope3_SourceData.Scope3_Other_Data(), Table_SourceData_Scope3_Other[[#Headers],[Category]], 0, 2)</f>
        <v>Other</v>
      </c>
      <c r="E202" s="19" t="str" cm="1">
        <f t="array" ref="E202">Common_InputFunctions.Utility_DisplayArrayInTable(Scope3_SourceData.Scope3_Other_Data(), Table_SourceData_Scope3_Other[[#Headers],[Category]], 0, 2)</f>
        <v>Animal ear tags (large)</v>
      </c>
      <c r="F202" s="19" t="str" cm="1">
        <f t="array" ref="F202">Common_InputFunctions.Utility_DisplayArrayInTable(Scope3_SourceData.Scope3_Other_Data(), Table_SourceData_Scope3_Other[[#Headers],[Category]], 0, 2)</f>
        <v>Australia</v>
      </c>
      <c r="G202" s="19" t="str" cm="1">
        <f t="array" ref="G202">Common_InputFunctions.Utility_DisplayArrayInTable(Scope3_SourceData.Scope3_Other_Data(), Table_SourceData_Scope3_Other[[#Headers],[Category]], 0, 2)</f>
        <v>p</v>
      </c>
      <c r="H202" s="19" cm="1">
        <f t="array" ref="H202">Common_InputFunctions.Utility_DisplayArrayInTable(Scope3_SourceData.Scope3_Other_Data(), Table_SourceData_Scope3_Other[[#Headers],[Category]], 0, 2)</f>
        <v>4.24E-2</v>
      </c>
      <c r="I202" s="19" t="str" cm="1">
        <f t="array" ref="I202">Common_InputFunctions.Utility_DisplayArrayInTable(Scope3_SourceData.Scope3_Other_Data(), Table_SourceData_Scope3_Other[[#Headers],[Category]], 0, 2)</f>
        <v>at market</v>
      </c>
      <c r="J202" s="19" t="s">
        <v>1169</v>
      </c>
    </row>
    <row r="203" spans="4:14" ht="20.100000000000001" customHeight="1" x14ac:dyDescent="0.2">
      <c r="D203" s="19" t="str" cm="1">
        <f t="array" ref="D203">Common_InputFunctions.Utility_DisplayArrayInTable(Scope3_SourceData.Scope3_Other_Data(), Table_SourceData_Scope3_Other[[#Headers],[Category]], 0, 2)</f>
        <v>Other</v>
      </c>
      <c r="E203" s="19" t="str" cm="1">
        <f t="array" ref="E203">Common_InputFunctions.Utility_DisplayArrayInTable(Scope3_SourceData.Scope3_Other_Data(), Table_SourceData_Scope3_Other[[#Headers],[Category]], 0, 2)</f>
        <v>Animal ear tags (small)</v>
      </c>
      <c r="F203" s="19" t="str" cm="1">
        <f t="array" ref="F203">Common_InputFunctions.Utility_DisplayArrayInTable(Scope3_SourceData.Scope3_Other_Data(), Table_SourceData_Scope3_Other[[#Headers],[Category]], 0, 2)</f>
        <v>Australia</v>
      </c>
      <c r="G203" s="19" t="str" cm="1">
        <f t="array" ref="G203">Common_InputFunctions.Utility_DisplayArrayInTable(Scope3_SourceData.Scope3_Other_Data(), Table_SourceData_Scope3_Other[[#Headers],[Category]], 0, 2)</f>
        <v>p</v>
      </c>
      <c r="H203" s="19" cm="1">
        <f t="array" ref="H203">Common_InputFunctions.Utility_DisplayArrayInTable(Scope3_SourceData.Scope3_Other_Data(), Table_SourceData_Scope3_Other[[#Headers],[Category]], 0, 2)</f>
        <v>2.93E-2</v>
      </c>
      <c r="I203" s="19" t="str" cm="1">
        <f t="array" ref="I203">Common_InputFunctions.Utility_DisplayArrayInTable(Scope3_SourceData.Scope3_Other_Data(), Table_SourceData_Scope3_Other[[#Headers],[Category]], 0, 2)</f>
        <v>at market</v>
      </c>
      <c r="J203" s="19" t="s">
        <v>1169</v>
      </c>
    </row>
    <row r="204" spans="4:14" ht="20.100000000000001" customHeight="1" x14ac:dyDescent="0.2">
      <c r="D204" s="19" t="str" cm="1">
        <f t="array" ref="D204">Common_InputFunctions.Utility_DisplayArrayInTable(Scope3_SourceData.Scope3_Other_Data(), Table_SourceData_Scope3_Other[[#Headers],[Category]], 0, 2)</f>
        <v>Other</v>
      </c>
      <c r="E204" s="19" t="str" cm="1">
        <f t="array" ref="E204">Common_InputFunctions.Utility_DisplayArrayInTable(Scope3_SourceData.Scope3_Other_Data(), Table_SourceData_Scope3_Other[[#Headers],[Category]], 0, 2)</f>
        <v>Barley grain (for seed)</v>
      </c>
      <c r="F204" s="19" t="str" cm="1">
        <f t="array" ref="F204">Common_InputFunctions.Utility_DisplayArrayInTable(Scope3_SourceData.Scope3_Other_Data(), Table_SourceData_Scope3_Other[[#Headers],[Category]], 0, 2)</f>
        <v>Australia</v>
      </c>
      <c r="G204" s="19" t="str" cm="1">
        <f t="array" ref="G204">Common_InputFunctions.Utility_DisplayArrayInTable(Scope3_SourceData.Scope3_Other_Data(), Table_SourceData_Scope3_Other[[#Headers],[Category]], 0, 2)</f>
        <v>kg</v>
      </c>
      <c r="H204" s="19" cm="1">
        <f t="array" ref="H204">Common_InputFunctions.Utility_DisplayArrayInTable(Scope3_SourceData.Scope3_Other_Data(), Table_SourceData_Scope3_Other[[#Headers],[Category]], 0, 2)</f>
        <v>0.23899999999999999</v>
      </c>
      <c r="I204" s="19" t="str" cm="1">
        <f t="array" ref="I204">Common_InputFunctions.Utility_DisplayArrayInTable(Scope3_SourceData.Scope3_Other_Data(), Table_SourceData_Scope3_Other[[#Headers],[Category]], 0, 2)</f>
        <v>at market</v>
      </c>
      <c r="J204" s="19" t="s">
        <v>1169</v>
      </c>
    </row>
    <row r="205" spans="4:14" ht="20.100000000000001" customHeight="1" x14ac:dyDescent="0.2">
      <c r="D205" s="19" t="str" cm="1">
        <f t="array" ref="D205">Common_InputFunctions.Utility_DisplayArrayInTable(Scope3_SourceData.Scope3_Other_Data(), Table_SourceData_Scope3_Other[[#Headers],[Category]], 0, 2)</f>
        <v>Other</v>
      </c>
      <c r="E205" s="19" t="str" cm="1">
        <f t="array" ref="E205">Common_InputFunctions.Utility_DisplayArrayInTable(Scope3_SourceData.Scope3_Other_Data(), Table_SourceData_Scope3_Other[[#Headers],[Category]], 0, 2)</f>
        <v>Maize grain (for seed)</v>
      </c>
      <c r="F205" s="19" t="str" cm="1">
        <f t="array" ref="F205">Common_InputFunctions.Utility_DisplayArrayInTable(Scope3_SourceData.Scope3_Other_Data(), Table_SourceData_Scope3_Other[[#Headers],[Category]], 0, 2)</f>
        <v>Australia</v>
      </c>
      <c r="G205" s="19" t="str" cm="1">
        <f t="array" ref="G205">Common_InputFunctions.Utility_DisplayArrayInTable(Scope3_SourceData.Scope3_Other_Data(), Table_SourceData_Scope3_Other[[#Headers],[Category]], 0, 2)</f>
        <v>kg</v>
      </c>
      <c r="H205" s="19" cm="1">
        <f t="array" ref="H205">Common_InputFunctions.Utility_DisplayArrayInTable(Scope3_SourceData.Scope3_Other_Data(), Table_SourceData_Scope3_Other[[#Headers],[Category]], 0, 2)</f>
        <v>0.18099999999999999</v>
      </c>
      <c r="I205" s="19" t="str" cm="1">
        <f t="array" ref="I205">Common_InputFunctions.Utility_DisplayArrayInTable(Scope3_SourceData.Scope3_Other_Data(), Table_SourceData_Scope3_Other[[#Headers],[Category]], 0, 2)</f>
        <v>at market</v>
      </c>
      <c r="J205" s="19" t="s">
        <v>1169</v>
      </c>
    </row>
    <row r="206" spans="4:14" ht="20.100000000000001" customHeight="1" x14ac:dyDescent="0.2">
      <c r="D206" s="19" t="str" cm="1">
        <f t="array" ref="D206">Common_InputFunctions.Utility_DisplayArrayInTable(Scope3_SourceData.Scope3_Other_Data(), Table_SourceData_Scope3_Other[[#Headers],[Category]], 0, 2)</f>
        <v>Other</v>
      </c>
      <c r="E206" s="19" t="str" cm="1">
        <f t="array" ref="E206">Common_InputFunctions.Utility_DisplayArrayInTable(Scope3_SourceData.Scope3_Other_Data(), Table_SourceData_Scope3_Other[[#Headers],[Category]], 0, 2)</f>
        <v>Nylon netting</v>
      </c>
      <c r="F206" s="19" t="str" cm="1">
        <f t="array" ref="F206">Common_InputFunctions.Utility_DisplayArrayInTable(Scope3_SourceData.Scope3_Other_Data(), Table_SourceData_Scope3_Other[[#Headers],[Category]], 0, 2)</f>
        <v>Global</v>
      </c>
      <c r="G206" s="19" t="str" cm="1">
        <f t="array" ref="G206">Common_InputFunctions.Utility_DisplayArrayInTable(Scope3_SourceData.Scope3_Other_Data(), Table_SourceData_Scope3_Other[[#Headers],[Category]], 0, 2)</f>
        <v>kg</v>
      </c>
      <c r="H206" s="19" cm="1">
        <f t="array" ref="H206">Common_InputFunctions.Utility_DisplayArrayInTable(Scope3_SourceData.Scope3_Other_Data(), Table_SourceData_Scope3_Other[[#Headers],[Category]], 0, 2)</f>
        <v>9.81</v>
      </c>
      <c r="I206" s="19" t="str" cm="1">
        <f t="array" ref="I206">Common_InputFunctions.Utility_DisplayArrayInTable(Scope3_SourceData.Scope3_Other_Data(), Table_SourceData_Scope3_Other[[#Headers],[Category]], 0, 2)</f>
        <v>at market</v>
      </c>
      <c r="J206" s="19" t="s">
        <v>1169</v>
      </c>
    </row>
    <row r="207" spans="4:14" ht="20.100000000000001" customHeight="1" x14ac:dyDescent="0.2">
      <c r="D207" s="19" t="str" cm="1">
        <f t="array" ref="D207">Common_InputFunctions.Utility_DisplayArrayInTable(Scope3_SourceData.Scope3_Other_Data(), Table_SourceData_Scope3_Other[[#Headers],[Category]], 0, 2)</f>
        <v>Other</v>
      </c>
      <c r="E207" s="19" t="str" cm="1">
        <f t="array" ref="E207">Common_InputFunctions.Utility_DisplayArrayInTable(Scope3_SourceData.Scope3_Other_Data(), Table_SourceData_Scope3_Other[[#Headers],[Category]], 0, 2)</f>
        <v>Oat grain (for seed)</v>
      </c>
      <c r="F207" s="19" t="str" cm="1">
        <f t="array" ref="F207">Common_InputFunctions.Utility_DisplayArrayInTable(Scope3_SourceData.Scope3_Other_Data(), Table_SourceData_Scope3_Other[[#Headers],[Category]], 0, 2)</f>
        <v>Australia</v>
      </c>
      <c r="G207" s="19" t="str" cm="1">
        <f t="array" ref="G207">Common_InputFunctions.Utility_DisplayArrayInTable(Scope3_SourceData.Scope3_Other_Data(), Table_SourceData_Scope3_Other[[#Headers],[Category]], 0, 2)</f>
        <v>kg</v>
      </c>
      <c r="H207" s="19" cm="1">
        <f t="array" ref="H207">Common_InputFunctions.Utility_DisplayArrayInTable(Scope3_SourceData.Scope3_Other_Data(), Table_SourceData_Scope3_Other[[#Headers],[Category]], 0, 2)</f>
        <v>0.27</v>
      </c>
      <c r="I207" s="19" t="str" cm="1">
        <f t="array" ref="I207">Common_InputFunctions.Utility_DisplayArrayInTable(Scope3_SourceData.Scope3_Other_Data(), Table_SourceData_Scope3_Other[[#Headers],[Category]], 0, 2)</f>
        <v>at market</v>
      </c>
      <c r="J207" s="19" t="s">
        <v>1169</v>
      </c>
    </row>
    <row r="208" spans="4:14" ht="20.100000000000001" customHeight="1" x14ac:dyDescent="0.2">
      <c r="D208" s="19" t="str" cm="1">
        <f t="array" ref="D208">Common_InputFunctions.Utility_DisplayArrayInTable(Scope3_SourceData.Scope3_Other_Data(), Table_SourceData_Scope3_Other[[#Headers],[Category]], 0, 2)</f>
        <v>Other</v>
      </c>
      <c r="E208" s="19" t="str" cm="1">
        <f t="array" ref="E208">Common_InputFunctions.Utility_DisplayArrayInTable(Scope3_SourceData.Scope3_Other_Data(), Table_SourceData_Scope3_Other[[#Headers],[Category]], 0, 2)</f>
        <v>Sorghum grain (for seed)</v>
      </c>
      <c r="F208" s="19" t="str" cm="1">
        <f t="array" ref="F208">Common_InputFunctions.Utility_DisplayArrayInTable(Scope3_SourceData.Scope3_Other_Data(), Table_SourceData_Scope3_Other[[#Headers],[Category]], 0, 2)</f>
        <v>Australia</v>
      </c>
      <c r="G208" s="19" t="str" cm="1">
        <f t="array" ref="G208">Common_InputFunctions.Utility_DisplayArrayInTable(Scope3_SourceData.Scope3_Other_Data(), Table_SourceData_Scope3_Other[[#Headers],[Category]], 0, 2)</f>
        <v>kg</v>
      </c>
      <c r="H208" s="19" cm="1">
        <f t="array" ref="H208">Common_InputFunctions.Utility_DisplayArrayInTable(Scope3_SourceData.Scope3_Other_Data(), Table_SourceData_Scope3_Other[[#Headers],[Category]], 0, 2)</f>
        <v>0.23200000000000001</v>
      </c>
      <c r="I208" s="19" t="str" cm="1">
        <f t="array" ref="I208">Common_InputFunctions.Utility_DisplayArrayInTable(Scope3_SourceData.Scope3_Other_Data(), Table_SourceData_Scope3_Other[[#Headers],[Category]], 0, 2)</f>
        <v>at market</v>
      </c>
      <c r="J208" s="19" t="s">
        <v>1169</v>
      </c>
    </row>
    <row r="209" spans="1:10" ht="20.100000000000001" customHeight="1" x14ac:dyDescent="0.2">
      <c r="D209" s="19" t="str" cm="1">
        <f t="array" ref="D209">Common_InputFunctions.Utility_DisplayArrayInTable(Scope3_SourceData.Scope3_Other_Data(), Table_SourceData_Scope3_Other[[#Headers],[Category]], 0, 2)</f>
        <v>Other</v>
      </c>
      <c r="E209" s="19" t="str" cm="1">
        <f t="array" ref="E209">Common_InputFunctions.Utility_DisplayArrayInTable(Scope3_SourceData.Scope3_Other_Data(), Table_SourceData_Scope3_Other[[#Headers],[Category]], 0, 2)</f>
        <v>Wheat grain (for seed)</v>
      </c>
      <c r="F209" s="19" t="str" cm="1">
        <f t="array" ref="F209">Common_InputFunctions.Utility_DisplayArrayInTable(Scope3_SourceData.Scope3_Other_Data(), Table_SourceData_Scope3_Other[[#Headers],[Category]], 0, 2)</f>
        <v>Australia</v>
      </c>
      <c r="G209" s="19" t="str" cm="1">
        <f t="array" ref="G209">Common_InputFunctions.Utility_DisplayArrayInTable(Scope3_SourceData.Scope3_Other_Data(), Table_SourceData_Scope3_Other[[#Headers],[Category]], 0, 2)</f>
        <v>kg</v>
      </c>
      <c r="H209" s="19" cm="1">
        <f t="array" ref="H209">Common_InputFunctions.Utility_DisplayArrayInTable(Scope3_SourceData.Scope3_Other_Data(), Table_SourceData_Scope3_Other[[#Headers],[Category]], 0, 2)</f>
        <v>0.26800000000000002</v>
      </c>
      <c r="I209" s="19" t="str" cm="1">
        <f t="array" ref="I209">Common_InputFunctions.Utility_DisplayArrayInTable(Scope3_SourceData.Scope3_Other_Data(), Table_SourceData_Scope3_Other[[#Headers],[Category]], 0, 2)</f>
        <v>at market</v>
      </c>
      <c r="J209" s="19" t="s">
        <v>1169</v>
      </c>
    </row>
    <row r="211" spans="1:10" ht="20.100000000000001" customHeight="1" x14ac:dyDescent="0.2">
      <c r="D211" s="2" t="s">
        <v>1184</v>
      </c>
    </row>
    <row r="212" spans="1:10" ht="20.100000000000001" customHeight="1" x14ac:dyDescent="0.2">
      <c r="D212" s="19" t="s">
        <v>1162</v>
      </c>
      <c r="E212" s="19" t="s">
        <v>132</v>
      </c>
      <c r="F212" s="19" t="s">
        <v>1163</v>
      </c>
      <c r="G212" s="19" t="s">
        <v>1164</v>
      </c>
      <c r="H212" s="19" t="s">
        <v>1165</v>
      </c>
      <c r="I212" s="19" t="s">
        <v>1166</v>
      </c>
      <c r="J212" s="19" t="s">
        <v>570</v>
      </c>
    </row>
    <row r="213" spans="1:10" ht="20.100000000000001" customHeight="1" x14ac:dyDescent="0.2">
      <c r="D213" s="19" t="str" cm="1">
        <f t="array" ref="D213">Common_InputFunctions.Utility_DisplayArrayInTable(Scope3_SourceData.Scope3_Packaging_Data(), Table_SourceData_Scope3_Packaging[[#Headers],[Category]], 0, 2)</f>
        <v>Packaging</v>
      </c>
      <c r="E213" s="19" t="str" cm="1">
        <f t="array" ref="E213">Common_InputFunctions.Utility_DisplayArrayInTable(Scope3_SourceData.Scope3_Packaging_Data(), Table_SourceData_Scope3_Packaging[[#Headers],[Category]], 0, 2)</f>
        <v>Corrugated board</v>
      </c>
      <c r="F213" s="19" t="str" cm="1">
        <f t="array" ref="F213">Common_InputFunctions.Utility_DisplayArrayInTable(Scope3_SourceData.Scope3_Packaging_Data(), Table_SourceData_Scope3_Packaging[[#Headers],[Category]], 0, 2)</f>
        <v>Global</v>
      </c>
      <c r="G213" s="19" t="str" cm="1">
        <f t="array" ref="G213">Common_InputFunctions.Utility_DisplayArrayInTable(Scope3_SourceData.Scope3_Packaging_Data(), Table_SourceData_Scope3_Packaging[[#Headers],[Category]], 0, 2)</f>
        <v>kg</v>
      </c>
      <c r="H213" s="19" cm="1">
        <f t="array" ref="H213">Common_InputFunctions.Utility_DisplayArrayInTable(Scope3_SourceData.Scope3_Packaging_Data(), Table_SourceData_Scope3_Packaging[[#Headers],[Category]], 0, 2)</f>
        <v>1.05</v>
      </c>
      <c r="I213" s="19" t="str" cm="1">
        <f t="array" ref="I213">Common_InputFunctions.Utility_DisplayArrayInTable(Scope3_SourceData.Scope3_Packaging_Data(), Table_SourceData_Scope3_Packaging[[#Headers],[Category]], 0, 2)</f>
        <v>at manufacturer</v>
      </c>
      <c r="J213" s="19" t="s">
        <v>1169</v>
      </c>
    </row>
    <row r="214" spans="1:10" ht="20.100000000000001" customHeight="1" x14ac:dyDescent="0.2">
      <c r="D214" s="19" t="str" cm="1">
        <f t="array" ref="D214">Common_InputFunctions.Utility_DisplayArrayInTable(Scope3_SourceData.Scope3_Packaging_Data(), Table_SourceData_Scope3_Packaging[[#Headers],[Category]], 0, 2)</f>
        <v>Packaging</v>
      </c>
      <c r="E214" s="19" t="str" cm="1">
        <f t="array" ref="E214">Common_InputFunctions.Utility_DisplayArrayInTable(Scope3_SourceData.Scope3_Packaging_Data(), Table_SourceData_Scope3_Packaging[[#Headers],[Category]], 0, 2)</f>
        <v>Plastic crate polypropylene</v>
      </c>
      <c r="F214" s="19" t="str" cm="1">
        <f t="array" ref="F214">Common_InputFunctions.Utility_DisplayArrayInTable(Scope3_SourceData.Scope3_Packaging_Data(), Table_SourceData_Scope3_Packaging[[#Headers],[Category]], 0, 2)</f>
        <v>Global</v>
      </c>
      <c r="G214" s="19" t="str" cm="1">
        <f t="array" ref="G214">Common_InputFunctions.Utility_DisplayArrayInTable(Scope3_SourceData.Scope3_Packaging_Data(), Table_SourceData_Scope3_Packaging[[#Headers],[Category]], 0, 2)</f>
        <v>p</v>
      </c>
      <c r="H214" s="19" cm="1">
        <f t="array" ref="H214">Common_InputFunctions.Utility_DisplayArrayInTable(Scope3_SourceData.Scope3_Packaging_Data(), Table_SourceData_Scope3_Packaging[[#Headers],[Category]], 0, 2)</f>
        <v>3.99</v>
      </c>
      <c r="I214" s="19" t="str" cm="1">
        <f t="array" ref="I214">Common_InputFunctions.Utility_DisplayArrayInTable(Scope3_SourceData.Scope3_Packaging_Data(), Table_SourceData_Scope3_Packaging[[#Headers],[Category]], 0, 2)</f>
        <v>at manufacturer</v>
      </c>
      <c r="J214" s="19" t="s">
        <v>1169</v>
      </c>
    </row>
    <row r="215" spans="1:10" ht="20.100000000000001" customHeight="1" x14ac:dyDescent="0.2">
      <c r="D215" s="19" t="str" cm="1">
        <f t="array" ref="D215">Common_InputFunctions.Utility_DisplayArrayInTable(Scope3_SourceData.Scope3_Packaging_Data(), Table_SourceData_Scope3_Packaging[[#Headers],[Category]], 0, 2)</f>
        <v>Packaging</v>
      </c>
      <c r="E215" s="19" t="str" cm="1">
        <f t="array" ref="E215">Common_InputFunctions.Utility_DisplayArrayInTable(Scope3_SourceData.Scope3_Packaging_Data(), Table_SourceData_Scope3_Packaging[[#Headers],[Category]], 0, 2)</f>
        <v>Plastic film LDPE</v>
      </c>
      <c r="F215" s="19" t="str" cm="1">
        <f t="array" ref="F215">Common_InputFunctions.Utility_DisplayArrayInTable(Scope3_SourceData.Scope3_Packaging_Data(), Table_SourceData_Scope3_Packaging[[#Headers],[Category]], 0, 2)</f>
        <v>Global</v>
      </c>
      <c r="G215" s="19" t="str" cm="1">
        <f t="array" ref="G215">Common_InputFunctions.Utility_DisplayArrayInTable(Scope3_SourceData.Scope3_Packaging_Data(), Table_SourceData_Scope3_Packaging[[#Headers],[Category]], 0, 2)</f>
        <v>kg</v>
      </c>
      <c r="H215" s="19" cm="1">
        <f t="array" ref="H215">Common_InputFunctions.Utility_DisplayArrayInTable(Scope3_SourceData.Scope3_Packaging_Data(), Table_SourceData_Scope3_Packaging[[#Headers],[Category]], 0, 2)</f>
        <v>3.44</v>
      </c>
      <c r="I215" s="19" t="str" cm="1">
        <f t="array" ref="I215">Common_InputFunctions.Utility_DisplayArrayInTable(Scope3_SourceData.Scope3_Packaging_Data(), Table_SourceData_Scope3_Packaging[[#Headers],[Category]], 0, 2)</f>
        <v>at manufacturer</v>
      </c>
      <c r="J215" s="19" t="s">
        <v>1169</v>
      </c>
    </row>
    <row r="216" spans="1:10" ht="20.100000000000001" customHeight="1" x14ac:dyDescent="0.2">
      <c r="D216" s="19" t="str" cm="1">
        <f t="array" ref="D216">Common_InputFunctions.Utility_DisplayArrayInTable(Scope3_SourceData.Scope3_Packaging_Data(), Table_SourceData_Scope3_Packaging[[#Headers],[Category]], 0, 2)</f>
        <v>Packaging</v>
      </c>
      <c r="E216" s="19" t="str" cm="1">
        <f t="array" ref="E216">Common_InputFunctions.Utility_DisplayArrayInTable(Scope3_SourceData.Scope3_Packaging_Data(), Table_SourceData_Scope3_Packaging[[#Headers],[Category]], 0, 2)</f>
        <v>Plastic sheet HDPE</v>
      </c>
      <c r="F216" s="19" t="str" cm="1">
        <f t="array" ref="F216">Common_InputFunctions.Utility_DisplayArrayInTable(Scope3_SourceData.Scope3_Packaging_Data(), Table_SourceData_Scope3_Packaging[[#Headers],[Category]], 0, 2)</f>
        <v>Global</v>
      </c>
      <c r="G216" s="19" t="str" cm="1">
        <f t="array" ref="G216">Common_InputFunctions.Utility_DisplayArrayInTable(Scope3_SourceData.Scope3_Packaging_Data(), Table_SourceData_Scope3_Packaging[[#Headers],[Category]], 0, 2)</f>
        <v>kg</v>
      </c>
      <c r="H216" s="19" cm="1">
        <f t="array" ref="H216">Common_InputFunctions.Utility_DisplayArrayInTable(Scope3_SourceData.Scope3_Packaging_Data(), Table_SourceData_Scope3_Packaging[[#Headers],[Category]], 0, 2)</f>
        <v>3.72</v>
      </c>
      <c r="I216" s="19" t="str" cm="1">
        <f t="array" ref="I216">Common_InputFunctions.Utility_DisplayArrayInTable(Scope3_SourceData.Scope3_Packaging_Data(), Table_SourceData_Scope3_Packaging[[#Headers],[Category]], 0, 2)</f>
        <v>at manufacturer</v>
      </c>
      <c r="J216" s="19" t="s">
        <v>1169</v>
      </c>
    </row>
    <row r="218" spans="1:10" ht="20.100000000000001" customHeight="1" x14ac:dyDescent="0.2">
      <c r="A218" s="79" t="str">
        <f>HYPERLINK("#A1", "▲ Back to top")</f>
        <v>▲ Back to top</v>
      </c>
      <c r="D218" s="2" t="s">
        <v>1185</v>
      </c>
    </row>
    <row r="219" spans="1:10" ht="20.100000000000001" customHeight="1" x14ac:dyDescent="0.2">
      <c r="D219" s="19" t="s">
        <v>1162</v>
      </c>
      <c r="E219" s="19" t="s">
        <v>132</v>
      </c>
      <c r="F219" s="19" t="s">
        <v>1163</v>
      </c>
      <c r="G219" s="19" t="s">
        <v>1164</v>
      </c>
      <c r="H219" s="19" t="s">
        <v>1165</v>
      </c>
      <c r="I219" s="19" t="s">
        <v>1166</v>
      </c>
      <c r="J219" s="19" t="s">
        <v>570</v>
      </c>
    </row>
    <row r="220" spans="1:10" ht="20.100000000000001" customHeight="1" x14ac:dyDescent="0.2">
      <c r="D220" s="19" t="str" cm="1">
        <f t="array" ref="D220">Common_InputFunctions.Utility_DisplayArrayInTable(Scope3_SourceData.Scope3_Pesticides_Data(), Table_SourceData_Scope3_Pesticides[[#Headers],[Category]], 0, 2)</f>
        <v>Pesticides</v>
      </c>
      <c r="E220" s="19" t="str" cm="1">
        <f t="array" ref="E220">Common_InputFunctions.Utility_DisplayArrayInTable(Scope3_SourceData.Scope3_Pesticides_Data(), Table_SourceData_Scope3_Pesticides[[#Headers],[Category]], 0, 2)</f>
        <v>2,4-D</v>
      </c>
      <c r="F220" s="19" t="str" cm="1">
        <f t="array" ref="F220">Common_InputFunctions.Utility_DisplayArrayInTable(Scope3_SourceData.Scope3_Pesticides_Data(), Table_SourceData_Scope3_Pesticides[[#Headers],[Category]], 0, 2)</f>
        <v>Global</v>
      </c>
      <c r="G220" s="19" t="str" cm="1">
        <f t="array" ref="G220">Common_InputFunctions.Utility_DisplayArrayInTable(Scope3_SourceData.Scope3_Pesticides_Data(), Table_SourceData_Scope3_Pesticides[[#Headers],[Category]], 0, 2)</f>
        <v>kg AI</v>
      </c>
      <c r="H220" s="19" cm="1">
        <f t="array" ref="H220">Common_InputFunctions.Utility_DisplayArrayInTable(Scope3_SourceData.Scope3_Pesticides_Data(), Table_SourceData_Scope3_Pesticides[[#Headers],[Category]], 0, 2)</f>
        <v>5.2</v>
      </c>
      <c r="I220" s="19" t="str" cm="1">
        <f t="array" ref="I220">Common_InputFunctions.Utility_DisplayArrayInTable(Scope3_SourceData.Scope3_Pesticides_Data(), Table_SourceData_Scope3_Pesticides[[#Headers],[Category]], 0, 2)</f>
        <v>at market</v>
      </c>
      <c r="J220" s="19" t="s">
        <v>1169</v>
      </c>
    </row>
    <row r="221" spans="1:10" ht="20.100000000000001" customHeight="1" x14ac:dyDescent="0.2">
      <c r="D221" s="19" t="str" cm="1">
        <f t="array" ref="D221">Common_InputFunctions.Utility_DisplayArrayInTable(Scope3_SourceData.Scope3_Pesticides_Data(), Table_SourceData_Scope3_Pesticides[[#Headers],[Category]], 0, 2)</f>
        <v>Pesticides</v>
      </c>
      <c r="E221" s="19" t="str" cm="1">
        <f t="array" ref="E221">Common_InputFunctions.Utility_DisplayArrayInTable(Scope3_SourceData.Scope3_Pesticides_Data(), Table_SourceData_Scope3_Pesticides[[#Headers],[Category]], 0, 2)</f>
        <v>Atrazine</v>
      </c>
      <c r="F221" s="19" t="str" cm="1">
        <f t="array" ref="F221">Common_InputFunctions.Utility_DisplayArrayInTable(Scope3_SourceData.Scope3_Pesticides_Data(), Table_SourceData_Scope3_Pesticides[[#Headers],[Category]], 0, 2)</f>
        <v>Global</v>
      </c>
      <c r="G221" s="19" t="str" cm="1">
        <f t="array" ref="G221">Common_InputFunctions.Utility_DisplayArrayInTable(Scope3_SourceData.Scope3_Pesticides_Data(), Table_SourceData_Scope3_Pesticides[[#Headers],[Category]], 0, 2)</f>
        <v>kg AI</v>
      </c>
      <c r="H221" s="19" cm="1">
        <f t="array" ref="H221">Common_InputFunctions.Utility_DisplayArrayInTable(Scope3_SourceData.Scope3_Pesticides_Data(), Table_SourceData_Scope3_Pesticides[[#Headers],[Category]], 0, 2)</f>
        <v>8.3800000000000008</v>
      </c>
      <c r="I221" s="19" t="str" cm="1">
        <f t="array" ref="I221">Common_InputFunctions.Utility_DisplayArrayInTable(Scope3_SourceData.Scope3_Pesticides_Data(), Table_SourceData_Scope3_Pesticides[[#Headers],[Category]], 0, 2)</f>
        <v>at market</v>
      </c>
      <c r="J221" s="19" t="s">
        <v>1169</v>
      </c>
    </row>
    <row r="222" spans="1:10" ht="20.100000000000001" customHeight="1" x14ac:dyDescent="0.2">
      <c r="D222" s="19" t="str" cm="1">
        <f t="array" ref="D222">Common_InputFunctions.Utility_DisplayArrayInTable(Scope3_SourceData.Scope3_Pesticides_Data(), Table_SourceData_Scope3_Pesticides[[#Headers],[Category]], 0, 2)</f>
        <v>Pesticides</v>
      </c>
      <c r="E222" s="19" t="str" cm="1">
        <f t="array" ref="E222">Common_InputFunctions.Utility_DisplayArrayInTable(Scope3_SourceData.Scope3_Pesticides_Data(), Table_SourceData_Scope3_Pesticides[[#Headers],[Category]], 0, 2)</f>
        <v>Diuron</v>
      </c>
      <c r="F222" s="19" t="str" cm="1">
        <f t="array" ref="F222">Common_InputFunctions.Utility_DisplayArrayInTable(Scope3_SourceData.Scope3_Pesticides_Data(), Table_SourceData_Scope3_Pesticides[[#Headers],[Category]], 0, 2)</f>
        <v>Global</v>
      </c>
      <c r="G222" s="19" t="str" cm="1">
        <f t="array" ref="G222">Common_InputFunctions.Utility_DisplayArrayInTable(Scope3_SourceData.Scope3_Pesticides_Data(), Table_SourceData_Scope3_Pesticides[[#Headers],[Category]], 0, 2)</f>
        <v>kg AI</v>
      </c>
      <c r="H222" s="19" cm="1">
        <f t="array" ref="H222">Common_InputFunctions.Utility_DisplayArrayInTable(Scope3_SourceData.Scope3_Pesticides_Data(), Table_SourceData_Scope3_Pesticides[[#Headers],[Category]], 0, 2)</f>
        <v>8.8000000000000007</v>
      </c>
      <c r="I222" s="19" t="str" cm="1">
        <f t="array" ref="I222">Common_InputFunctions.Utility_DisplayArrayInTable(Scope3_SourceData.Scope3_Pesticides_Data(), Table_SourceData_Scope3_Pesticides[[#Headers],[Category]], 0, 2)</f>
        <v>at market</v>
      </c>
      <c r="J222" s="19" t="s">
        <v>1169</v>
      </c>
    </row>
    <row r="223" spans="1:10" ht="20.100000000000001" customHeight="1" x14ac:dyDescent="0.2">
      <c r="D223" s="19" t="str" cm="1">
        <f t="array" ref="D223">Common_InputFunctions.Utility_DisplayArrayInTable(Scope3_SourceData.Scope3_Pesticides_Data(), Table_SourceData_Scope3_Pesticides[[#Headers],[Category]], 0, 2)</f>
        <v>Pesticides</v>
      </c>
      <c r="E223" s="19" t="str" cm="1">
        <f t="array" ref="E223">Common_InputFunctions.Utility_DisplayArrayInTable(Scope3_SourceData.Scope3_Pesticides_Data(), Table_SourceData_Scope3_Pesticides[[#Headers],[Category]], 0, 2)</f>
        <v>Glyphosate</v>
      </c>
      <c r="F223" s="19" t="str" cm="1">
        <f t="array" ref="F223">Common_InputFunctions.Utility_DisplayArrayInTable(Scope3_SourceData.Scope3_Pesticides_Data(), Table_SourceData_Scope3_Pesticides[[#Headers],[Category]], 0, 2)</f>
        <v>Global</v>
      </c>
      <c r="G223" s="19" t="str" cm="1">
        <f t="array" ref="G223">Common_InputFunctions.Utility_DisplayArrayInTable(Scope3_SourceData.Scope3_Pesticides_Data(), Table_SourceData_Scope3_Pesticides[[#Headers],[Category]], 0, 2)</f>
        <v>kg AI</v>
      </c>
      <c r="H223" s="19" cm="1">
        <f t="array" ref="H223">Common_InputFunctions.Utility_DisplayArrayInTable(Scope3_SourceData.Scope3_Pesticides_Data(), Table_SourceData_Scope3_Pesticides[[#Headers],[Category]], 0, 2)</f>
        <v>10.3</v>
      </c>
      <c r="I223" s="19" t="str" cm="1">
        <f t="array" ref="I223">Common_InputFunctions.Utility_DisplayArrayInTable(Scope3_SourceData.Scope3_Pesticides_Data(), Table_SourceData_Scope3_Pesticides[[#Headers],[Category]], 0, 2)</f>
        <v>at market</v>
      </c>
      <c r="J223" s="19" t="s">
        <v>1169</v>
      </c>
    </row>
    <row r="224" spans="1:10" ht="20.100000000000001" customHeight="1" x14ac:dyDescent="0.2">
      <c r="D224" s="19" t="str" cm="1">
        <f t="array" ref="D224">Common_InputFunctions.Utility_DisplayArrayInTable(Scope3_SourceData.Scope3_Pesticides_Data(), Table_SourceData_Scope3_Pesticides[[#Headers],[Category]], 0, 2)</f>
        <v>Pesticides</v>
      </c>
      <c r="E224" s="19" t="str" cm="1">
        <f t="array" ref="E224">Common_InputFunctions.Utility_DisplayArrayInTable(Scope3_SourceData.Scope3_Pesticides_Data(), Table_SourceData_Scope3_Pesticides[[#Headers],[Category]], 0, 2)</f>
        <v>Mancozeb</v>
      </c>
      <c r="F224" s="19" t="str" cm="1">
        <f t="array" ref="F224">Common_InputFunctions.Utility_DisplayArrayInTable(Scope3_SourceData.Scope3_Pesticides_Data(), Table_SourceData_Scope3_Pesticides[[#Headers],[Category]], 0, 2)</f>
        <v>Global</v>
      </c>
      <c r="G224" s="19" t="str" cm="1">
        <f t="array" ref="G224">Common_InputFunctions.Utility_DisplayArrayInTable(Scope3_SourceData.Scope3_Pesticides_Data(), Table_SourceData_Scope3_Pesticides[[#Headers],[Category]], 0, 2)</f>
        <v>kg AI</v>
      </c>
      <c r="H224" s="19" cm="1">
        <f t="array" ref="H224">Common_InputFunctions.Utility_DisplayArrayInTable(Scope3_SourceData.Scope3_Pesticides_Data(), Table_SourceData_Scope3_Pesticides[[#Headers],[Category]], 0, 2)</f>
        <v>4.55</v>
      </c>
      <c r="I224" s="19" t="str" cm="1">
        <f t="array" ref="I224">Common_InputFunctions.Utility_DisplayArrayInTable(Scope3_SourceData.Scope3_Pesticides_Data(), Table_SourceData_Scope3_Pesticides[[#Headers],[Category]], 0, 2)</f>
        <v>at market</v>
      </c>
      <c r="J224" s="19" t="s">
        <v>1169</v>
      </c>
    </row>
    <row r="225" spans="4:10" ht="20.100000000000001" customHeight="1" x14ac:dyDescent="0.2">
      <c r="D225" s="19" t="str" cm="1">
        <f t="array" ref="D225">Common_InputFunctions.Utility_DisplayArrayInTable(Scope3_SourceData.Scope3_Pesticides_Data(), Table_SourceData_Scope3_Pesticides[[#Headers],[Category]], 0, 2)</f>
        <v>Pesticides</v>
      </c>
      <c r="E225" s="19" t="str" cm="1">
        <f t="array" ref="E225">Common_InputFunctions.Utility_DisplayArrayInTable(Scope3_SourceData.Scope3_Pesticides_Data(), Table_SourceData_Scope3_Pesticides[[#Headers],[Category]], 0, 2)</f>
        <v>MCPA</v>
      </c>
      <c r="F225" s="19" t="str" cm="1">
        <f t="array" ref="F225">Common_InputFunctions.Utility_DisplayArrayInTable(Scope3_SourceData.Scope3_Pesticides_Data(), Table_SourceData_Scope3_Pesticides[[#Headers],[Category]], 0, 2)</f>
        <v>Global</v>
      </c>
      <c r="G225" s="19" t="str" cm="1">
        <f t="array" ref="G225">Common_InputFunctions.Utility_DisplayArrayInTable(Scope3_SourceData.Scope3_Pesticides_Data(), Table_SourceData_Scope3_Pesticides[[#Headers],[Category]], 0, 2)</f>
        <v>kg AI</v>
      </c>
      <c r="H225" s="19" cm="1">
        <f t="array" ref="H225">Common_InputFunctions.Utility_DisplayArrayInTable(Scope3_SourceData.Scope3_Pesticides_Data(), Table_SourceData_Scope3_Pesticides[[#Headers],[Category]], 0, 2)</f>
        <v>5.6</v>
      </c>
      <c r="I225" s="19" t="str" cm="1">
        <f t="array" ref="I225">Common_InputFunctions.Utility_DisplayArrayInTable(Scope3_SourceData.Scope3_Pesticides_Data(), Table_SourceData_Scope3_Pesticides[[#Headers],[Category]], 0, 2)</f>
        <v>at market</v>
      </c>
      <c r="J225" s="19" t="s">
        <v>1169</v>
      </c>
    </row>
    <row r="226" spans="4:10" ht="20.100000000000001" customHeight="1" x14ac:dyDescent="0.2">
      <c r="D226" s="19" t="str" cm="1">
        <f t="array" ref="D226">Common_InputFunctions.Utility_DisplayArrayInTable(Scope3_SourceData.Scope3_Pesticides_Data(), Table_SourceData_Scope3_Pesticides[[#Headers],[Category]], 0, 2)</f>
        <v>Pesticides</v>
      </c>
      <c r="E226" s="19" t="str" cm="1">
        <f t="array" ref="E226">Common_InputFunctions.Utility_DisplayArrayInTable(Scope3_SourceData.Scope3_Pesticides_Data(), Table_SourceData_Scope3_Pesticides[[#Headers],[Category]], 0, 2)</f>
        <v>Metolachlor</v>
      </c>
      <c r="F226" s="19" t="str" cm="1">
        <f t="array" ref="F226">Common_InputFunctions.Utility_DisplayArrayInTable(Scope3_SourceData.Scope3_Pesticides_Data(), Table_SourceData_Scope3_Pesticides[[#Headers],[Category]], 0, 2)</f>
        <v>Global</v>
      </c>
      <c r="G226" s="19" t="str" cm="1">
        <f t="array" ref="G226">Common_InputFunctions.Utility_DisplayArrayInTable(Scope3_SourceData.Scope3_Pesticides_Data(), Table_SourceData_Scope3_Pesticides[[#Headers],[Category]], 0, 2)</f>
        <v>kg AI</v>
      </c>
      <c r="H226" s="19" cm="1">
        <f t="array" ref="H226">Common_InputFunctions.Utility_DisplayArrayInTable(Scope3_SourceData.Scope3_Pesticides_Data(), Table_SourceData_Scope3_Pesticides[[#Headers],[Category]], 0, 2)</f>
        <v>8.06</v>
      </c>
      <c r="I226" s="19" t="str" cm="1">
        <f t="array" ref="I226">Common_InputFunctions.Utility_DisplayArrayInTable(Scope3_SourceData.Scope3_Pesticides_Data(), Table_SourceData_Scope3_Pesticides[[#Headers],[Category]], 0, 2)</f>
        <v>at market</v>
      </c>
      <c r="J226" s="19" t="s">
        <v>1169</v>
      </c>
    </row>
    <row r="227" spans="4:10" ht="20.100000000000001" customHeight="1" x14ac:dyDescent="0.2">
      <c r="D227" s="19" t="str" cm="1">
        <f t="array" ref="D227">Common_InputFunctions.Utility_DisplayArrayInTable(Scope3_SourceData.Scope3_Pesticides_Data(), Table_SourceData_Scope3_Pesticides[[#Headers],[Category]], 0, 2)</f>
        <v>Pesticides</v>
      </c>
      <c r="E227" s="19" t="str" cm="1">
        <f t="array" ref="E227">Common_InputFunctions.Utility_DisplayArrayInTable(Scope3_SourceData.Scope3_Pesticides_Data(), Table_SourceData_Scope3_Pesticides[[#Headers],[Category]], 0, 2)</f>
        <v>Metsulfuron-methyl</v>
      </c>
      <c r="F227" s="19" t="str" cm="1">
        <f t="array" ref="F227">Common_InputFunctions.Utility_DisplayArrayInTable(Scope3_SourceData.Scope3_Pesticides_Data(), Table_SourceData_Scope3_Pesticides[[#Headers],[Category]], 0, 2)</f>
        <v>Global</v>
      </c>
      <c r="G227" s="19" t="str" cm="1">
        <f t="array" ref="G227">Common_InputFunctions.Utility_DisplayArrayInTable(Scope3_SourceData.Scope3_Pesticides_Data(), Table_SourceData_Scope3_Pesticides[[#Headers],[Category]], 0, 2)</f>
        <v>kg AI</v>
      </c>
      <c r="H227" s="19" cm="1">
        <f t="array" ref="H227">Common_InputFunctions.Utility_DisplayArrayInTable(Scope3_SourceData.Scope3_Pesticides_Data(), Table_SourceData_Scope3_Pesticides[[#Headers],[Category]], 0, 2)</f>
        <v>8.8000000000000007</v>
      </c>
      <c r="I227" s="19" t="str" cm="1">
        <f t="array" ref="I227">Common_InputFunctions.Utility_DisplayArrayInTable(Scope3_SourceData.Scope3_Pesticides_Data(), Table_SourceData_Scope3_Pesticides[[#Headers],[Category]], 0, 2)</f>
        <v>at market</v>
      </c>
      <c r="J227" s="19" t="s">
        <v>1169</v>
      </c>
    </row>
    <row r="228" spans="4:10" ht="20.100000000000001" customHeight="1" x14ac:dyDescent="0.2">
      <c r="D228" s="19" t="str" cm="1">
        <f t="array" ref="D228">Common_InputFunctions.Utility_DisplayArrayInTable(Scope3_SourceData.Scope3_Pesticides_Data(), Table_SourceData_Scope3_Pesticides[[#Headers],[Category]], 0, 2)</f>
        <v>Pesticides</v>
      </c>
      <c r="E228" s="19" t="str" cm="1">
        <f t="array" ref="E228">Common_InputFunctions.Utility_DisplayArrayInTable(Scope3_SourceData.Scope3_Pesticides_Data(), Table_SourceData_Scope3_Pesticides[[#Headers],[Category]], 0, 2)</f>
        <v>Pesticides (generic)</v>
      </c>
      <c r="F228" s="19" t="str" cm="1">
        <f t="array" ref="F228">Common_InputFunctions.Utility_DisplayArrayInTable(Scope3_SourceData.Scope3_Pesticides_Data(), Table_SourceData_Scope3_Pesticides[[#Headers],[Category]], 0, 2)</f>
        <v>Global</v>
      </c>
      <c r="G228" s="19" t="str" cm="1">
        <f t="array" ref="G228">Common_InputFunctions.Utility_DisplayArrayInTable(Scope3_SourceData.Scope3_Pesticides_Data(), Table_SourceData_Scope3_Pesticides[[#Headers],[Category]], 0, 2)</f>
        <v>kg AI</v>
      </c>
      <c r="H228" s="19" cm="1">
        <f t="array" ref="H228">Common_InputFunctions.Utility_DisplayArrayInTable(Scope3_SourceData.Scope3_Pesticides_Data(), Table_SourceData_Scope3_Pesticides[[#Headers],[Category]], 0, 2)</f>
        <v>9.16</v>
      </c>
      <c r="I228" s="19" t="str" cm="1">
        <f t="array" ref="I228">Common_InputFunctions.Utility_DisplayArrayInTable(Scope3_SourceData.Scope3_Pesticides_Data(), Table_SourceData_Scope3_Pesticides[[#Headers],[Category]], 0, 2)</f>
        <v>at market</v>
      </c>
      <c r="J228" s="19" t="s">
        <v>1169</v>
      </c>
    </row>
    <row r="229" spans="4:10" ht="20.100000000000001" customHeight="1" x14ac:dyDescent="0.2">
      <c r="D229" s="19" t="str" cm="1">
        <f t="array" ref="D229">Common_InputFunctions.Utility_DisplayArrayInTable(Scope3_SourceData.Scope3_Pesticides_Data(), Table_SourceData_Scope3_Pesticides[[#Headers],[Category]], 0, 2)</f>
        <v>Pesticides</v>
      </c>
      <c r="E229" s="19" t="str" cm="1">
        <f t="array" ref="E229">Common_InputFunctions.Utility_DisplayArrayInTable(Scope3_SourceData.Scope3_Pesticides_Data(), Table_SourceData_Scope3_Pesticides[[#Headers],[Category]], 0, 2)</f>
        <v>Tri-allate</v>
      </c>
      <c r="F229" s="19" t="str" cm="1">
        <f t="array" ref="F229">Common_InputFunctions.Utility_DisplayArrayInTable(Scope3_SourceData.Scope3_Pesticides_Data(), Table_SourceData_Scope3_Pesticides[[#Headers],[Category]], 0, 2)</f>
        <v>Global</v>
      </c>
      <c r="G229" s="19" t="str" cm="1">
        <f t="array" ref="G229">Common_InputFunctions.Utility_DisplayArrayInTable(Scope3_SourceData.Scope3_Pesticides_Data(), Table_SourceData_Scope3_Pesticides[[#Headers],[Category]], 0, 2)</f>
        <v>kg AI</v>
      </c>
      <c r="H229" s="19" cm="1">
        <f t="array" ref="H229">Common_InputFunctions.Utility_DisplayArrayInTable(Scope3_SourceData.Scope3_Pesticides_Data(), Table_SourceData_Scope3_Pesticides[[#Headers],[Category]], 0, 2)</f>
        <v>8.57</v>
      </c>
      <c r="I229" s="19" t="str" cm="1">
        <f t="array" ref="I229">Common_InputFunctions.Utility_DisplayArrayInTable(Scope3_SourceData.Scope3_Pesticides_Data(), Table_SourceData_Scope3_Pesticides[[#Headers],[Category]], 0, 2)</f>
        <v>at market</v>
      </c>
      <c r="J229" s="19" t="s">
        <v>1169</v>
      </c>
    </row>
    <row r="230" spans="4:10" ht="20.100000000000001" customHeight="1" x14ac:dyDescent="0.2">
      <c r="D230" s="19" t="str" cm="1">
        <f t="array" ref="D230">Common_InputFunctions.Utility_DisplayArrayInTable(Scope3_SourceData.Scope3_Pesticides_Data(), Table_SourceData_Scope3_Pesticides[[#Headers],[Category]], 0, 2)</f>
        <v>Pesticides</v>
      </c>
      <c r="E230" s="19" t="str" cm="1">
        <f t="array" ref="E230">Common_InputFunctions.Utility_DisplayArrayInTable(Scope3_SourceData.Scope3_Pesticides_Data(), Table_SourceData_Scope3_Pesticides[[#Headers],[Category]], 0, 2)</f>
        <v>Tribenuron methyl</v>
      </c>
      <c r="F230" s="19" t="str" cm="1">
        <f t="array" ref="F230">Common_InputFunctions.Utility_DisplayArrayInTable(Scope3_SourceData.Scope3_Pesticides_Data(), Table_SourceData_Scope3_Pesticides[[#Headers],[Category]], 0, 2)</f>
        <v>Global</v>
      </c>
      <c r="G230" s="19" t="str" cm="1">
        <f t="array" ref="G230">Common_InputFunctions.Utility_DisplayArrayInTable(Scope3_SourceData.Scope3_Pesticides_Data(), Table_SourceData_Scope3_Pesticides[[#Headers],[Category]], 0, 2)</f>
        <v>kg AI</v>
      </c>
      <c r="H230" s="19" cm="1">
        <f t="array" ref="H230">Common_InputFunctions.Utility_DisplayArrayInTable(Scope3_SourceData.Scope3_Pesticides_Data(), Table_SourceData_Scope3_Pesticides[[#Headers],[Category]], 0, 2)</f>
        <v>8.8000000000000007</v>
      </c>
      <c r="I230" s="19" t="str" cm="1">
        <f t="array" ref="I230">Common_InputFunctions.Utility_DisplayArrayInTable(Scope3_SourceData.Scope3_Pesticides_Data(), Table_SourceData_Scope3_Pesticides[[#Headers],[Category]], 0, 2)</f>
        <v>at market</v>
      </c>
      <c r="J230" s="19" t="s">
        <v>1169</v>
      </c>
    </row>
    <row r="231" spans="4:10" ht="20.100000000000001" customHeight="1" x14ac:dyDescent="0.2">
      <c r="D231" s="19" t="str" cm="1">
        <f t="array" ref="D231">Common_InputFunctions.Utility_DisplayArrayInTable(Scope3_SourceData.Scope3_Pesticides_Data(), Table_SourceData_Scope3_Pesticides[[#Headers],[Category]], 0, 2)</f>
        <v>Pesticides</v>
      </c>
      <c r="E231" s="19" t="str" cm="1">
        <f t="array" ref="E231">Common_InputFunctions.Utility_DisplayArrayInTable(Scope3_SourceData.Scope3_Pesticides_Data(), Table_SourceData_Scope3_Pesticides[[#Headers],[Category]], 0, 2)</f>
        <v>Trifluralin</v>
      </c>
      <c r="F231" s="19" t="str" cm="1">
        <f t="array" ref="F231">Common_InputFunctions.Utility_DisplayArrayInTable(Scope3_SourceData.Scope3_Pesticides_Data(), Table_SourceData_Scope3_Pesticides[[#Headers],[Category]], 0, 2)</f>
        <v>Global</v>
      </c>
      <c r="G231" s="19" t="str" cm="1">
        <f t="array" ref="G231">Common_InputFunctions.Utility_DisplayArrayInTable(Scope3_SourceData.Scope3_Pesticides_Data(), Table_SourceData_Scope3_Pesticides[[#Headers],[Category]], 0, 2)</f>
        <v>kg AI</v>
      </c>
      <c r="H231" s="19" cm="1">
        <f t="array" ref="H231">Common_InputFunctions.Utility_DisplayArrayInTable(Scope3_SourceData.Scope3_Pesticides_Data(), Table_SourceData_Scope3_Pesticides[[#Headers],[Category]], 0, 2)</f>
        <v>6.16</v>
      </c>
      <c r="I231" s="19" t="str" cm="1">
        <f t="array" ref="I231">Common_InputFunctions.Utility_DisplayArrayInTable(Scope3_SourceData.Scope3_Pesticides_Data(), Table_SourceData_Scope3_Pesticides[[#Headers],[Category]], 0, 2)</f>
        <v>at market</v>
      </c>
      <c r="J231" s="19" t="s">
        <v>1169</v>
      </c>
    </row>
    <row r="233" spans="4:10" ht="20.100000000000001" customHeight="1" x14ac:dyDescent="0.2">
      <c r="D233" s="2" t="s">
        <v>1186</v>
      </c>
    </row>
    <row r="234" spans="4:10" ht="20.100000000000001" customHeight="1" x14ac:dyDescent="0.2">
      <c r="D234" s="19" t="s">
        <v>1162</v>
      </c>
      <c r="E234" s="19" t="s">
        <v>132</v>
      </c>
      <c r="F234" s="19" t="s">
        <v>1163</v>
      </c>
      <c r="G234" s="19" t="s">
        <v>1164</v>
      </c>
      <c r="H234" s="19" t="s">
        <v>1165</v>
      </c>
      <c r="I234" s="19" t="s">
        <v>1166</v>
      </c>
      <c r="J234" s="19" t="s">
        <v>570</v>
      </c>
    </row>
    <row r="235" spans="4:10" ht="20.100000000000001" customHeight="1" x14ac:dyDescent="0.2">
      <c r="D235" s="19" t="str" cm="1">
        <f t="array" ref="D235">Common_InputFunctions.Utility_DisplayArrayInTable(Scope3_SourceData.Scope3_SoilAmendments_Data(), Table_SourceData_Scope3_SoilAmeliorants[[#Headers],[Category]], 0, 2)</f>
        <v>Soil ameliorants</v>
      </c>
      <c r="E235" s="19" t="str" cm="1">
        <f t="array" ref="E235">Common_InputFunctions.Utility_DisplayArrayInTable(Scope3_SourceData.Scope3_SoilAmendments_Data(), Table_SourceData_Scope3_SoilAmeliorants[[#Headers],[Category]], 0, 2)</f>
        <v>Dolomite</v>
      </c>
      <c r="F235" s="19" t="str" cm="1">
        <f t="array" ref="F235">Common_InputFunctions.Utility_DisplayArrayInTable(Scope3_SourceData.Scope3_SoilAmendments_Data(), Table_SourceData_Scope3_SoilAmeliorants[[#Headers],[Category]], 0, 2)</f>
        <v>Australia</v>
      </c>
      <c r="G235" s="19" t="str" cm="1">
        <f t="array" ref="G235">Common_InputFunctions.Utility_DisplayArrayInTable(Scope3_SourceData.Scope3_SoilAmendments_Data(), Table_SourceData_Scope3_SoilAmeliorants[[#Headers],[Category]], 0, 2)</f>
        <v>kg</v>
      </c>
      <c r="H235" s="19" cm="1">
        <f t="array" ref="H235">Common_InputFunctions.Utility_DisplayArrayInTable(Scope3_SourceData.Scope3_SoilAmendments_Data(), Table_SourceData_Scope3_SoilAmeliorants[[#Headers],[Category]], 0, 2)</f>
        <v>6.5199999999999994E-2</v>
      </c>
      <c r="I235" s="19" t="str" cm="1">
        <f t="array" ref="I235">Common_InputFunctions.Utility_DisplayArrayInTable(Scope3_SourceData.Scope3_SoilAmendments_Data(), Table_SourceData_Scope3_SoilAmeliorants[[#Headers],[Category]], 0, 2)</f>
        <v>at market</v>
      </c>
      <c r="J235" s="19" t="s">
        <v>1169</v>
      </c>
    </row>
    <row r="236" spans="4:10" ht="20.100000000000001" customHeight="1" x14ac:dyDescent="0.2">
      <c r="D236" s="19" t="str" cm="1">
        <f t="array" ref="D236">Common_InputFunctions.Utility_DisplayArrayInTable(Scope3_SourceData.Scope3_SoilAmendments_Data(), Table_SourceData_Scope3_SoilAmeliorants[[#Headers],[Category]], 0, 2)</f>
        <v>Soil ameliorants</v>
      </c>
      <c r="E236" s="19" t="str" cm="1">
        <f t="array" ref="E236">Common_InputFunctions.Utility_DisplayArrayInTable(Scope3_SourceData.Scope3_SoilAmendments_Data(), Table_SourceData_Scope3_SoilAmeliorants[[#Headers],[Category]], 0, 2)</f>
        <v>Gypsum</v>
      </c>
      <c r="F236" s="19" t="str" cm="1">
        <f t="array" ref="F236">Common_InputFunctions.Utility_DisplayArrayInTable(Scope3_SourceData.Scope3_SoilAmendments_Data(), Table_SourceData_Scope3_SoilAmeliorants[[#Headers],[Category]], 0, 2)</f>
        <v>Australia</v>
      </c>
      <c r="G236" s="19" t="str" cm="1">
        <f t="array" ref="G236">Common_InputFunctions.Utility_DisplayArrayInTable(Scope3_SourceData.Scope3_SoilAmendments_Data(), Table_SourceData_Scope3_SoilAmeliorants[[#Headers],[Category]], 0, 2)</f>
        <v>kg</v>
      </c>
      <c r="H236" s="19" cm="1">
        <f t="array" ref="H236">Common_InputFunctions.Utility_DisplayArrayInTable(Scope3_SourceData.Scope3_SoilAmendments_Data(), Table_SourceData_Scope3_SoilAmeliorants[[#Headers],[Category]], 0, 2)</f>
        <v>6.5199999999999994E-2</v>
      </c>
      <c r="I236" s="19" t="str" cm="1">
        <f t="array" ref="I236">Common_InputFunctions.Utility_DisplayArrayInTable(Scope3_SourceData.Scope3_SoilAmendments_Data(), Table_SourceData_Scope3_SoilAmeliorants[[#Headers],[Category]], 0, 2)</f>
        <v>at market</v>
      </c>
      <c r="J236" s="19" t="s">
        <v>1169</v>
      </c>
    </row>
    <row r="237" spans="4:10" ht="20.100000000000001" customHeight="1" x14ac:dyDescent="0.2">
      <c r="D237" s="19" t="str" cm="1">
        <f t="array" ref="D237">Common_InputFunctions.Utility_DisplayArrayInTable(Scope3_SourceData.Scope3_SoilAmendments_Data(), Table_SourceData_Scope3_SoilAmeliorants[[#Headers],[Category]], 0, 2)</f>
        <v>Soil ameliorants</v>
      </c>
      <c r="E237" s="19" t="str" cm="1">
        <f t="array" ref="E237">Common_InputFunctions.Utility_DisplayArrayInTable(Scope3_SourceData.Scope3_SoilAmendments_Data(), Table_SourceData_Scope3_SoilAmeliorants[[#Headers],[Category]], 0, 2)</f>
        <v>Limestone (crushed)</v>
      </c>
      <c r="F237" s="19" t="str" cm="1">
        <f t="array" ref="F237">Common_InputFunctions.Utility_DisplayArrayInTable(Scope3_SourceData.Scope3_SoilAmendments_Data(), Table_SourceData_Scope3_SoilAmeliorants[[#Headers],[Category]], 0, 2)</f>
        <v>Australia</v>
      </c>
      <c r="G237" s="19" t="str" cm="1">
        <f t="array" ref="G237">Common_InputFunctions.Utility_DisplayArrayInTable(Scope3_SourceData.Scope3_SoilAmendments_Data(), Table_SourceData_Scope3_SoilAmeliorants[[#Headers],[Category]], 0, 2)</f>
        <v>kg</v>
      </c>
      <c r="H237" s="19" cm="1">
        <f t="array" ref="H237">Common_InputFunctions.Utility_DisplayArrayInTable(Scope3_SourceData.Scope3_SoilAmendments_Data(), Table_SourceData_Scope3_SoilAmeliorants[[#Headers],[Category]], 0, 2)</f>
        <v>4.8500000000000001E-2</v>
      </c>
      <c r="I237" s="19" t="str" cm="1">
        <f t="array" ref="I237">Common_InputFunctions.Utility_DisplayArrayInTable(Scope3_SourceData.Scope3_SoilAmendments_Data(), Table_SourceData_Scope3_SoilAmeliorants[[#Headers],[Category]], 0, 2)</f>
        <v>at market</v>
      </c>
      <c r="J237" s="19" t="s">
        <v>1169</v>
      </c>
    </row>
    <row r="240" spans="4:10" ht="20.100000000000001" customHeight="1" x14ac:dyDescent="0.2">
      <c r="D240" s="2" t="s">
        <v>1187</v>
      </c>
    </row>
    <row r="241" spans="4:18" ht="20.100000000000001" customHeight="1" x14ac:dyDescent="0.2">
      <c r="D241" s="19" t="s">
        <v>1162</v>
      </c>
      <c r="E241" s="19" t="s">
        <v>132</v>
      </c>
      <c r="F241" s="19" t="s">
        <v>1163</v>
      </c>
      <c r="G241" s="19" t="s">
        <v>1164</v>
      </c>
      <c r="H241" s="19" t="s">
        <v>1165</v>
      </c>
      <c r="I241" s="19" t="s">
        <v>1166</v>
      </c>
      <c r="J241" s="19" t="s">
        <v>570</v>
      </c>
      <c r="L241" s="19" t="s">
        <v>132</v>
      </c>
      <c r="M241" s="19" t="s">
        <v>1167</v>
      </c>
      <c r="N241" s="1" t="str">
        <f>"Table_ProductRegions_" &amp; SUBSTITUTE(SUBSTITUTE(SUBSTITUTE(SUBSTITUTE(L242, " ", ""), ",", ""), "(", ""), ")", "")</f>
        <v>Table_ProductRegions_Sardineswhole</v>
      </c>
      <c r="R241" s="1"/>
    </row>
    <row r="242" spans="4:18" ht="20.100000000000001" customHeight="1" x14ac:dyDescent="0.2">
      <c r="D242" s="19" t="str" cm="1">
        <f t="array" ref="D242">Common_InputFunctions.Utility_DisplayArrayInTable(Scope3_SourceData.Scope3_Feed_Data(), Table_SourceData_Scope3_FishFeedAndBait[[#Headers],[Category]], 0, 2)</f>
        <v>Aquaculture feed</v>
      </c>
      <c r="E242" s="19" t="str" cm="1">
        <f t="array" ref="E242">Common_InputFunctions.Utility_DisplayArrayInTable(Scope3_SourceData.Scope3_Feed_Data(), Table_SourceData_Scope3_FishFeedAndBait[[#Headers],[Category]], 0, 2)</f>
        <v>Sardines (whole)</v>
      </c>
      <c r="F242" s="19" t="str" cm="1">
        <f t="array" ref="F242">Common_InputFunctions.Utility_DisplayArrayInTable(Scope3_SourceData.Scope3_Feed_Data(), Table_SourceData_Scope3_FishFeedAndBait[[#Headers],[Category]], 0, 2)</f>
        <v>SA</v>
      </c>
      <c r="G242" s="19" t="str" cm="1">
        <f t="array" ref="G242">Common_InputFunctions.Utility_DisplayArrayInTable(Scope3_SourceData.Scope3_Feed_Data(), Table_SourceData_Scope3_FishFeedAndBait[[#Headers],[Category]], 0, 2)</f>
        <v>kg</v>
      </c>
      <c r="H242" s="19" cm="1">
        <f t="array" ref="H242">Common_InputFunctions.Utility_DisplayArrayInTable(Scope3_SourceData.Scope3_Feed_Data(), Table_SourceData_Scope3_FishFeedAndBait[[#Headers],[Category]], 0, 2)</f>
        <v>0.376</v>
      </c>
      <c r="I242" s="19" t="str" cm="1">
        <f t="array" ref="I242">Common_InputFunctions.Utility_DisplayArrayInTable(Scope3_SourceData.Scope3_Feed_Data(), Table_SourceData_Scope3_FishFeedAndBait[[#Headers],[Category]], 0, 2)</f>
        <v>at market</v>
      </c>
      <c r="J242" s="19" t="s">
        <v>1169</v>
      </c>
      <c r="L242" s="19" t="str">
        <f>Table_SourceData_Scope3_FishFeedAndBait[[#This Row],[Product]]</f>
        <v>Sardines (whole)</v>
      </c>
      <c r="M242" s="19" t="str">
        <f>Table_SourceData_Scope3_FishFeedAndBait[[#This Row],[Region of origin]]</f>
        <v>SA</v>
      </c>
      <c r="R242" s="1"/>
    </row>
    <row r="243" spans="4:18" ht="20.100000000000001" customHeight="1" x14ac:dyDescent="0.2">
      <c r="D243" s="19" t="str" cm="1">
        <f t="array" ref="D243">Common_InputFunctions.Utility_DisplayArrayInTable(Scope3_SourceData.Scope3_FishFeedAndBait_Data(), Table_SourceData_Scope3_FishFeedAndBait[[#Headers],[Category]], 1, 1)</f>
        <v>Fish feed and bait</v>
      </c>
      <c r="E243" s="19" t="str" cm="1">
        <f t="array" ref="E243">Common_InputFunctions.Utility_DisplayArrayInTable(Scope3_SourceData.Scope3_FishFeedAndBait_Data(), Table_SourceData_Scope3_FishFeedAndBait[[#Headers],[Category]], 1, 1)</f>
        <v>Sardines (whole)</v>
      </c>
      <c r="F243" s="19" t="str" cm="1">
        <f t="array" ref="F243">Common_InputFunctions.Utility_DisplayArrayInTable(Scope3_SourceData.Scope3_FishFeedAndBait_Data(), Table_SourceData_Scope3_FishFeedAndBait[[#Headers],[Category]], 1, 1)</f>
        <v>Australia</v>
      </c>
      <c r="G243" s="19" t="str" cm="1">
        <f t="array" ref="G243">Common_InputFunctions.Utility_DisplayArrayInTable(Scope3_SourceData.Scope3_FishFeedAndBait_Data(), Table_SourceData_Scope3_FishFeedAndBait[[#Headers],[Category]], 1, 1)</f>
        <v>kg</v>
      </c>
      <c r="H243" s="19" cm="1">
        <f t="array" ref="H243">Common_InputFunctions.Utility_DisplayArrayInTable(Scope3_SourceData.Scope3_FishFeedAndBait_Data(), Table_SourceData_Scope3_FishFeedAndBait[[#Headers],[Category]], 1, 1)</f>
        <v>0.3</v>
      </c>
      <c r="I243" s="19" t="str" cm="1">
        <f t="array" ref="I243">Common_InputFunctions.Utility_DisplayArrayInTable(Scope3_SourceData.Scope3_FishFeedAndBait_Data(), Table_SourceData_Scope3_FishFeedAndBait[[#Headers],[Category]], 1, 1)</f>
        <v>Not specified</v>
      </c>
      <c r="J243" s="19" t="s">
        <v>1188</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19" t="str" cm="1">
        <f t="array" ref="D244">Common_InputFunctions.Utility_DisplayArrayInTable(Scope3_SourceData.Scope3_FishFeedAndBait_Data(), Table_SourceData_Scope3_FishFeedAndBait[[#Headers],[Category]], 1, 1)</f>
        <v>Fish feed and bait</v>
      </c>
      <c r="E244" s="19" t="str" cm="1">
        <f t="array" ref="E244">Common_InputFunctions.Utility_DisplayArrayInTable(Scope3_SourceData.Scope3_FishFeedAndBait_Data(), Table_SourceData_Scope3_FishFeedAndBait[[#Headers],[Category]], 1, 1)</f>
        <v>Low Animal Protein Formulated Feed</v>
      </c>
      <c r="F244" s="19" t="str" cm="1">
        <f t="array" ref="F244">Common_InputFunctions.Utility_DisplayArrayInTable(Scope3_SourceData.Scope3_FishFeedAndBait_Data(), Table_SourceData_Scope3_FishFeedAndBait[[#Headers],[Category]], 1, 1)</f>
        <v>Australia</v>
      </c>
      <c r="G244" s="19" t="str" cm="1">
        <f t="array" ref="G244">Common_InputFunctions.Utility_DisplayArrayInTable(Scope3_SourceData.Scope3_FishFeedAndBait_Data(), Table_SourceData_Scope3_FishFeedAndBait[[#Headers],[Category]], 1, 1)</f>
        <v>kg</v>
      </c>
      <c r="H244" s="19" cm="1">
        <f t="array" ref="H244">Common_InputFunctions.Utility_DisplayArrayInTable(Scope3_SourceData.Scope3_FishFeedAndBait_Data(), Table_SourceData_Scope3_FishFeedAndBait[[#Headers],[Category]], 1, 1)</f>
        <v>2.2000000000000002</v>
      </c>
      <c r="I244" s="19" t="str" cm="1">
        <f t="array" ref="I244">Common_InputFunctions.Utility_DisplayArrayInTable(Scope3_SourceData.Scope3_FishFeedAndBait_Data(), Table_SourceData_Scope3_FishFeedAndBait[[#Headers],[Category]], 1, 1)</f>
        <v>Not specified</v>
      </c>
      <c r="J244" s="19" t="s">
        <v>1188</v>
      </c>
      <c r="R244" s="1"/>
    </row>
    <row r="245" spans="4:18" ht="20.100000000000001" customHeight="1" x14ac:dyDescent="0.2">
      <c r="D245" s="19" t="str" cm="1">
        <f t="array" ref="D245">Common_InputFunctions.Utility_DisplayArrayInTable(Scope3_SourceData.Scope3_FishFeedAndBait_Data(), Table_SourceData_Scope3_FishFeedAndBait[[#Headers],[Category]], 1, 1)</f>
        <v>Fish feed and bait</v>
      </c>
      <c r="E245" s="19" t="str" cm="1">
        <f t="array" ref="E245">Common_InputFunctions.Utility_DisplayArrayInTable(Scope3_SourceData.Scope3_FishFeedAndBait_Data(), Table_SourceData_Scope3_FishFeedAndBait[[#Headers],[Category]], 1, 1)</f>
        <v>Squid</v>
      </c>
      <c r="F245" s="19" t="str" cm="1">
        <f t="array" ref="F245">Common_InputFunctions.Utility_DisplayArrayInTable(Scope3_SourceData.Scope3_FishFeedAndBait_Data(), Table_SourceData_Scope3_FishFeedAndBait[[#Headers],[Category]], 1, 1)</f>
        <v>Australia</v>
      </c>
      <c r="G245" s="19" t="str" cm="1">
        <f t="array" ref="G245">Common_InputFunctions.Utility_DisplayArrayInTable(Scope3_SourceData.Scope3_FishFeedAndBait_Data(), Table_SourceData_Scope3_FishFeedAndBait[[#Headers],[Category]], 1, 1)</f>
        <v>kg</v>
      </c>
      <c r="H245" s="19" cm="1">
        <f t="array" ref="H245">Common_InputFunctions.Utility_DisplayArrayInTable(Scope3_SourceData.Scope3_FishFeedAndBait_Data(), Table_SourceData_Scope3_FishFeedAndBait[[#Headers],[Category]], 1, 1)</f>
        <v>0.3</v>
      </c>
      <c r="I245" s="19" t="str" cm="1">
        <f t="array" ref="I245">Common_InputFunctions.Utility_DisplayArrayInTable(Scope3_SourceData.Scope3_FishFeedAndBait_Data(), Table_SourceData_Scope3_FishFeedAndBait[[#Headers],[Category]], 1, 1)</f>
        <v>Not specified</v>
      </c>
      <c r="J245" s="19" t="s">
        <v>1188</v>
      </c>
      <c r="R245" s="1"/>
    </row>
    <row r="246" spans="4:18" ht="20.100000000000001" customHeight="1" x14ac:dyDescent="0.2">
      <c r="D246" s="19" t="str" cm="1">
        <f t="array" ref="D246">Common_InputFunctions.Utility_DisplayArrayInTable(Scope3_SourceData.Scope3_FishFeedAndBait_Data(), Table_SourceData_Scope3_FishFeedAndBait[[#Headers],[Category]], 1, 1)</f>
        <v>Fish feed and bait</v>
      </c>
      <c r="E246" s="19" t="str" cm="1">
        <f t="array" ref="E246">Common_InputFunctions.Utility_DisplayArrayInTable(Scope3_SourceData.Scope3_FishFeedAndBait_Data(), Table_SourceData_Scope3_FishFeedAndBait[[#Headers],[Category]], 1, 1)</f>
        <v>Whole fish</v>
      </c>
      <c r="F246" s="19" t="str" cm="1">
        <f t="array" ref="F246">Common_InputFunctions.Utility_DisplayArrayInTable(Scope3_SourceData.Scope3_FishFeedAndBait_Data(), Table_SourceData_Scope3_FishFeedAndBait[[#Headers],[Category]], 1, 1)</f>
        <v>Australia</v>
      </c>
      <c r="G246" s="19" t="str" cm="1">
        <f t="array" ref="G246">Common_InputFunctions.Utility_DisplayArrayInTable(Scope3_SourceData.Scope3_FishFeedAndBait_Data(), Table_SourceData_Scope3_FishFeedAndBait[[#Headers],[Category]], 1, 1)</f>
        <v>kg</v>
      </c>
      <c r="H246" s="19" cm="1">
        <f t="array" ref="H246">Common_InputFunctions.Utility_DisplayArrayInTable(Scope3_SourceData.Scope3_FishFeedAndBait_Data(), Table_SourceData_Scope3_FishFeedAndBait[[#Headers],[Category]], 1, 1)</f>
        <v>0.3</v>
      </c>
      <c r="I246" s="19" t="str" cm="1">
        <f t="array" ref="I246">Common_InputFunctions.Utility_DisplayArrayInTable(Scope3_SourceData.Scope3_FishFeedAndBait_Data(), Table_SourceData_Scope3_FishFeedAndBait[[#Headers],[Category]], 1, 1)</f>
        <v>Not specified</v>
      </c>
      <c r="J246" s="19" t="s">
        <v>1188</v>
      </c>
      <c r="R246" s="1"/>
    </row>
    <row r="247" spans="4:18" ht="20.100000000000001" customHeight="1" x14ac:dyDescent="0.2">
      <c r="D247" s="19" t="str" cm="1">
        <f t="array" ref="D247">Common_InputFunctions.Utility_DisplayArrayInTable(Scope3_SourceData.Scope3_FishFeedAndBait_Data(), Table_SourceData_Scope3_FishFeedAndBait[[#Headers],[Category]], 1, 1)</f>
        <v>Fish feed and bait</v>
      </c>
      <c r="E247" s="19" t="str" cm="1">
        <f t="array" ref="E247">Common_InputFunctions.Utility_DisplayArrayInTable(Scope3_SourceData.Scope3_FishFeedAndBait_Data(), Table_SourceData_Scope3_FishFeedAndBait[[#Headers],[Category]], 1, 1)</f>
        <v>Custom Bait</v>
      </c>
      <c r="F247" s="19" t="str" cm="1">
        <f t="array" ref="F247">Common_InputFunctions.Utility_DisplayArrayInTable(Scope3_SourceData.Scope3_FishFeedAndBait_Data(), Table_SourceData_Scope3_FishFeedAndBait[[#Headers],[Category]], 1, 1)</f>
        <v>Australia</v>
      </c>
      <c r="G247" s="19" t="str" cm="1">
        <f t="array" ref="G247">Common_InputFunctions.Utility_DisplayArrayInTable(Scope3_SourceData.Scope3_FishFeedAndBait_Data(), Table_SourceData_Scope3_FishFeedAndBait[[#Headers],[Category]], 1, 1)</f>
        <v>kg</v>
      </c>
      <c r="H247" s="19" cm="1">
        <f t="array" ref="H247">Common_InputFunctions.Utility_DisplayArrayInTable(Scope3_SourceData.Scope3_FishFeedAndBait_Data(), Table_SourceData_Scope3_FishFeedAndBait[[#Headers],[Category]], 1, 1)</f>
        <v>0.08</v>
      </c>
      <c r="I247" s="19" t="str" cm="1">
        <f t="array" ref="I247">Common_InputFunctions.Utility_DisplayArrayInTable(Scope3_SourceData.Scope3_FishFeedAndBait_Data(), Table_SourceData_Scope3_FishFeedAndBait[[#Headers],[Category]], 1, 1)</f>
        <v>Not specified</v>
      </c>
      <c r="J247" s="19" t="s">
        <v>1188</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ECC1-8D8B-4950-8305-489A2BE0DCC3}">
  <sheetPr>
    <tabColor theme="2" tint="-0.499984740745262"/>
  </sheetPr>
  <dimension ref="A1:AI68"/>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931</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
      <c r="D6" s="17" t="str" cm="1">
        <f t="array" ref="D6">WasteSolid_SourceData.Waste_EmissionFactorsForWasteTreatment_Source()</f>
        <v>VEERG 2026: Table A.4.1.1</v>
      </c>
    </row>
    <row r="7" spans="1:35" ht="20.100000000000001" customHeight="1" x14ac:dyDescent="0.2">
      <c r="D7" s="25" t="str" cm="1">
        <f t="array" ref="D7:D13">WasteSolid_SourceData.Waste_EmissionFactorsForWasteTreatment_Variation()</f>
        <v>VARIATION ON SOURCE:</v>
      </c>
    </row>
    <row r="8" spans="1:35" ht="20.100000000000001" customHeight="1" x14ac:dyDescent="0.2">
      <c r="A8" s="7" t="s">
        <v>0</v>
      </c>
      <c r="D8" s="25" t="str">
        <v>Fixed typo 'paper and carboard' to 'paper and cardboard'</v>
      </c>
    </row>
    <row r="9" spans="1:35" ht="20.100000000000001" customHeight="1" x14ac:dyDescent="0.2">
      <c r="A9" s="5" t="str">
        <f>HYPERLINK("#'Input - Enterprise'!A1", "Enterprise")</f>
        <v>Enterprise</v>
      </c>
      <c r="D9" s="25" t="str">
        <v>Fixed typo 'prunnings' to 'prunings'</v>
      </c>
    </row>
    <row r="10" spans="1:35" ht="20.100000000000001" customHeight="1" x14ac:dyDescent="0.2">
      <c r="A10" s="5" t="str">
        <f>HYPERLINK("#'Input - Site'!A1", "Site")</f>
        <v>Site</v>
      </c>
      <c r="D10" s="25" t="str">
        <v>Added EF source column with specific references</v>
      </c>
    </row>
    <row r="11" spans="1:35" ht="20.100000000000001" customHeight="1" x14ac:dyDescent="0.2">
      <c r="A11" s="5" t="str">
        <f>HYPERLINK("#'Input - Poultry'!A1", "Poultry")</f>
        <v>Poultry</v>
      </c>
      <c r="D11" s="25" t="str">
        <v>Added sub-categories for 'Incineration: Food waste, green waste, wood, sludge' in order to use volume to mass conversion factor values</v>
      </c>
    </row>
    <row r="12" spans="1:35" ht="20.100000000000001" customHeight="1" x14ac:dyDescent="0.2">
      <c r="A12" s="5" t="str">
        <f>HYPERLINK("#'Input - Livestock sales'!A1", "Livestock sales")</f>
        <v>Livestock sales</v>
      </c>
      <c r="D12" s="25" t="str">
        <v>Added sub-categories for 'Composting: All organic waste' in order to use volume to mass conversion factor values</v>
      </c>
    </row>
    <row r="13" spans="1:35" ht="20.100000000000001" customHeight="1" x14ac:dyDescent="0.2">
      <c r="A13" s="5" t="str">
        <f>HYPERLINK("#'Input - Poultry purchases'!A1", "Poultry purchases")</f>
        <v>Poultry purchases</v>
      </c>
      <c r="D13" s="25" t="str">
        <v>Added sub-categories for 'Anaerobic digestion: All organic waste' in order to use volume to mass conversion factor values</v>
      </c>
    </row>
    <row r="14" spans="1:35" ht="20.100000000000001" customHeight="1" x14ac:dyDescent="0.2">
      <c r="A14" s="5" t="str">
        <f>HYPERLINK("#'Input - Fuel'!A1", "Fuel")</f>
        <v>Fuel</v>
      </c>
      <c r="D14" s="1" t="str" cm="1">
        <f t="array" ref="D14">WasteSolid_SourceData.Waste_EmissionFactorsForWasteTreatment_Variable()</f>
        <v>EFwt</v>
      </c>
    </row>
    <row r="15" spans="1:35" ht="20.100000000000001" customHeight="1" x14ac:dyDescent="0.2">
      <c r="A15" s="5" t="str">
        <f>HYPERLINK("#'Input - Electricity'!A1", "Electricity")</f>
        <v>Electricity</v>
      </c>
      <c r="D15" s="9" t="str" cm="1">
        <f t="array" ref="D15">WasteSolid_SourceData.Waste_EmissionFactorsForWasteTreatment_Unit()</f>
        <v>t CO2e / t</v>
      </c>
      <c r="I15" s="1" t="s">
        <v>932</v>
      </c>
      <c r="K15" s="1" t="s">
        <v>933</v>
      </c>
      <c r="M15" s="1" t="s">
        <v>934</v>
      </c>
      <c r="O15" s="1" t="s">
        <v>935</v>
      </c>
    </row>
    <row r="16" spans="1:35" ht="20.100000000000001" customHeight="1" x14ac:dyDescent="0.2">
      <c r="A16" s="5" t="str">
        <f>HYPERLINK("#'Input - Common farm inputs'!A1", "Common farm inputs")</f>
        <v>Common farm inputs</v>
      </c>
      <c r="D16" s="19" t="s">
        <v>936</v>
      </c>
      <c r="E16" s="19" t="s">
        <v>937</v>
      </c>
      <c r="F16" s="19" t="s">
        <v>938</v>
      </c>
      <c r="G16" s="19" t="s">
        <v>939</v>
      </c>
      <c r="I16" s="19" t="s">
        <v>937</v>
      </c>
      <c r="K16" s="237" t="s">
        <v>937</v>
      </c>
      <c r="M16" s="237" t="s">
        <v>937</v>
      </c>
      <c r="O16" s="237" t="s">
        <v>937</v>
      </c>
    </row>
    <row r="17" spans="1:15" ht="20.100000000000001" customHeight="1" x14ac:dyDescent="0.2">
      <c r="A17" s="5" t="str">
        <f>HYPERLINK("#'Input - Livestock farm Inputs'!A1", "Livestock farm Inputs")</f>
        <v>Livestock farm Inputs</v>
      </c>
      <c r="D17" s="19" t="str" cm="1">
        <f t="array" ref="D17">Common_InputFunctions.Utility_DisplayArrayInTable(WasteSolid_SourceData.Waste_EmissionFactorsForWasteTreatment_Data(), Table_SourceData_WasteSolid_WasteTreatmentEFs[[#Headers],[Treatment type t]], 0)</f>
        <v>Landfill</v>
      </c>
      <c r="E17" s="19"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9" cm="1">
        <f t="array" ref="F17">Common_InputFunctions.Utility_DisplayArrayInTable(WasteSolid_SourceData.Waste_EmissionFactorsForWasteTreatment_Data(), Table_SourceData_WasteSolid_WasteTreatmentEFs[[#Headers],[Treatment type t]], 0)</f>
        <v>2.1</v>
      </c>
      <c r="G17" s="19" t="str" cm="1">
        <f t="array" ref="G17">Common_InputFunctions.Utility_DisplayArrayInTable(WasteSolid_SourceData.Waste_EmissionFactorsForWasteTreatment_Data(), Table_SourceData_WasteSolid_WasteTreatmentEFs[[#Headers],[Treatment type t]], 0)</f>
        <v>NGAF 2025 table 15</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tr" cm="1">
        <f t="array" ref="D18">Common_InputFunctions.Utility_DisplayArrayInTable(WasteSolid_SourceData.Waste_EmissionFactorsForWasteTreatment_Data(), Table_SourceData_WasteSolid_WasteTreatmentEFs[[#Headers],[Treatment type t]], 0)</f>
        <v>Landfill</v>
      </c>
      <c r="E18" s="19" t="str" cm="1">
        <f t="array" ref="E18">Common_InputFunctions.Utility_DisplayArrayInTable(WasteSolid_SourceData.Waste_EmissionFactorsForWasteTreatment_Data(), Table_SourceData_WasteSolid_WasteTreatmentEFs[[#Headers],[Treatment type t]], 0)</f>
        <v>Paper and cardboard</v>
      </c>
      <c r="F18" s="19" cm="1">
        <f t="array" ref="F18">Common_InputFunctions.Utility_DisplayArrayInTable(WasteSolid_SourceData.Waste_EmissionFactorsForWasteTreatment_Data(), Table_SourceData_WasteSolid_WasteTreatmentEFs[[#Headers],[Treatment type t]], 0)</f>
        <v>3.3</v>
      </c>
      <c r="G18" s="19" t="str" cm="1">
        <f t="array" ref="G18">Common_InputFunctions.Utility_DisplayArrayInTable(WasteSolid_SourceData.Waste_EmissionFactorsForWasteTreatment_Data(), Table_SourceData_WasteSolid_WasteTreatmentEFs[[#Headers],[Treatment type t]], 0)</f>
        <v>NGAF 2025 table 15</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tr" cm="1">
        <f t="array" ref="D19">Common_InputFunctions.Utility_DisplayArrayInTable(WasteSolid_SourceData.Waste_EmissionFactorsForWasteTreatment_Data(), Table_SourceData_WasteSolid_WasteTreatmentEFs[[#Headers],[Treatment type t]], 0)</f>
        <v>Landfill</v>
      </c>
      <c r="E19" s="19" t="str" cm="1">
        <f t="array" ref="E19">Common_InputFunctions.Utility_DisplayArrayInTable(WasteSolid_SourceData.Waste_EmissionFactorsForWasteTreatment_Data(), Table_SourceData_WasteSolid_WasteTreatmentEFs[[#Headers],[Treatment type t]], 0)</f>
        <v>Green waste (including crop residues or prunings)</v>
      </c>
      <c r="F19" s="19" cm="1">
        <f t="array" ref="F19">Common_InputFunctions.Utility_DisplayArrayInTable(WasteSolid_SourceData.Waste_EmissionFactorsForWasteTreatment_Data(), Table_SourceData_WasteSolid_WasteTreatmentEFs[[#Headers],[Treatment type t]], 0)</f>
        <v>1.6</v>
      </c>
      <c r="G19" s="19" t="str" cm="1">
        <f t="array" ref="G19">Common_InputFunctions.Utility_DisplayArrayInTable(WasteSolid_SourceData.Waste_EmissionFactorsForWasteTreatment_Data(), Table_SourceData_WasteSolid_WasteTreatmentEFs[[#Headers],[Treatment type t]], 0)</f>
        <v>NGAF 2025 table 15</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Manure sent off-site'!A1", "Manure sent off-site")</f>
        <v>Manure sent off-site</v>
      </c>
      <c r="D20" s="1" t="str" cm="1">
        <f t="array" ref="D20">Common_InputFunctions.Utility_DisplayArrayInTable(WasteSolid_SourceData.Waste_EmissionFactorsForWasteTreatment_Data(), Table_SourceData_WasteSolid_WasteTreatmentEFs[[#Headers],[Treatment type t]], 0)</f>
        <v>Landfill</v>
      </c>
      <c r="E20" s="19" t="str" cm="1">
        <f t="array" ref="E20">Common_InputFunctions.Utility_DisplayArrayInTable(WasteSolid_SourceData.Waste_EmissionFactorsForWasteTreatment_Data(), Table_SourceData_WasteSolid_WasteTreatmentEFs[[#Headers],[Treatment type t]], 0)</f>
        <v>Wood</v>
      </c>
      <c r="F20" s="19" cm="1">
        <f t="array" ref="F20">Common_InputFunctions.Utility_DisplayArrayInTable(WasteSolid_SourceData.Waste_EmissionFactorsForWasteTreatment_Data(), Table_SourceData_WasteSolid_WasteTreatmentEFs[[#Headers],[Treatment type t]], 0)</f>
        <v>0.7</v>
      </c>
      <c r="G20" s="19" t="str" cm="1">
        <f t="array" ref="G20">Common_InputFunctions.Utility_DisplayArrayInTable(WasteSolid_SourceData.Waste_EmissionFactorsForWasteTreatment_Data(), Table_SourceData_WasteSolid_WasteTreatmentEFs[[#Headers],[Treatment type t]], 0)</f>
        <v>NGAF 2025 table 15</v>
      </c>
      <c r="I20" s="19"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Data quality'!A1", "Data quality")</f>
        <v>Data quality</v>
      </c>
      <c r="D21" s="1" t="str" cm="1">
        <f t="array" ref="D21">Common_InputFunctions.Utility_DisplayArrayInTable(WasteSolid_SourceData.Waste_EmissionFactorsForWasteTreatment_Data(), Table_SourceData_WasteSolid_WasteTreatmentEFs[[#Headers],[Treatment type t]], 0)</f>
        <v>Landfill</v>
      </c>
      <c r="E21" s="19" t="str" cm="1">
        <f t="array" ref="E21">Common_InputFunctions.Utility_DisplayArrayInTable(WasteSolid_SourceData.Waste_EmissionFactorsForWasteTreatment_Data(), Table_SourceData_WasteSolid_WasteTreatmentEFs[[#Headers],[Treatment type t]], 0)</f>
        <v>Textiles</v>
      </c>
      <c r="F21" s="19" cm="1">
        <f t="array" ref="F21">Common_InputFunctions.Utility_DisplayArrayInTable(WasteSolid_SourceData.Waste_EmissionFactorsForWasteTreatment_Data(), Table_SourceData_WasteSolid_WasteTreatmentEFs[[#Headers],[Treatment type t]], 0)</f>
        <v>2</v>
      </c>
      <c r="G21" s="19" t="str" cm="1">
        <f t="array" ref="G21">Common_InputFunctions.Utility_DisplayArrayInTable(WasteSolid_SourceData.Waste_EmissionFactorsForWasteTreatment_Data(), Table_SourceData_WasteSolid_WasteTreatmentEFs[[#Headers],[Treatment type t]], 0)</f>
        <v>NGAF 2025 table 15</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Fert Prod System'!A1", "Fert Prod System")</f>
        <v>Fert Prod System</v>
      </c>
      <c r="D22" s="1" t="str" cm="1">
        <f t="array" ref="D22">Common_InputFunctions.Utility_DisplayArrayInTable(WasteSolid_SourceData.Waste_EmissionFactorsForWasteTreatment_Data(), Table_SourceData_WasteSolid_WasteTreatmentEFs[[#Headers],[Treatment type t]], 0)</f>
        <v>Landfill</v>
      </c>
      <c r="E22" s="19" t="str" cm="1">
        <f t="array" ref="E22">Common_InputFunctions.Utility_DisplayArrayInTable(WasteSolid_SourceData.Waste_EmissionFactorsForWasteTreatment_Data(), Table_SourceData_WasteSolid_WasteTreatmentEFs[[#Headers],[Treatment type t]], 0)</f>
        <v>Sludge</v>
      </c>
      <c r="F22" s="19" cm="1">
        <f t="array" ref="F22">Common_InputFunctions.Utility_DisplayArrayInTable(WasteSolid_SourceData.Waste_EmissionFactorsForWasteTreatment_Data(), Table_SourceData_WasteSolid_WasteTreatmentEFs[[#Headers],[Treatment type t]], 0)</f>
        <v>0.4</v>
      </c>
      <c r="G22" s="19" t="str" cm="1">
        <f t="array" ref="G22">Common_InputFunctions.Utility_DisplayArrayInTable(WasteSolid_SourceData.Waste_EmissionFactorsForWasteTreatment_Data(), Table_SourceData_WasteSolid_WasteTreatmentEFs[[#Headers],[Treatment type t]], 0)</f>
        <v>NGAF 2025 table 15</v>
      </c>
      <c r="I22" s="19" t="str">
        <f>Table_SourceData_WasteSolid_WasteTreatmentEFs[[#This Row],[Waste type w]]</f>
        <v>Sludge</v>
      </c>
      <c r="K22" s="1" t="str">
        <f t="shared" si="0"/>
        <v>Textiles</v>
      </c>
    </row>
    <row r="23" spans="1:15" ht="20.100000000000001" customHeight="1" x14ac:dyDescent="0.2">
      <c r="A23" s="5" t="str">
        <f>HYPERLINK("#'Input - Fertiliser'!A1", "Fertiliser")</f>
        <v>Fertiliser</v>
      </c>
      <c r="D23" s="1" t="str" cm="1">
        <f t="array" ref="D23">Common_InputFunctions.Utility_DisplayArrayInTable(WasteSolid_SourceData.Waste_EmissionFactorsForWasteTreatment_Data(), Table_SourceData_WasteSolid_WasteTreatmentEFs[[#Headers],[Treatment type t]], 0)</f>
        <v>Landfill</v>
      </c>
      <c r="E23" s="19" t="str" cm="1">
        <f t="array" ref="E23">Common_InputFunctions.Utility_DisplayArrayInTable(WasteSolid_SourceData.Waste_EmissionFactorsForWasteTreatment_Data(), Table_SourceData_WasteSolid_WasteTreatmentEFs[[#Headers],[Treatment type t]], 0)</f>
        <v>Rubber and leather</v>
      </c>
      <c r="F23" s="19" cm="1">
        <f t="array" ref="F23">Common_InputFunctions.Utility_DisplayArrayInTable(WasteSolid_SourceData.Waste_EmissionFactorsForWasteTreatment_Data(), Table_SourceData_WasteSolid_WasteTreatmentEFs[[#Headers],[Treatment type t]], 0)</f>
        <v>3.3</v>
      </c>
      <c r="G23" s="19" t="str" cm="1">
        <f t="array" ref="G23">Common_InputFunctions.Utility_DisplayArrayInTable(WasteSolid_SourceData.Waste_EmissionFactorsForWasteTreatment_Data(), Table_SourceData_WasteSolid_WasteTreatmentEFs[[#Headers],[Treatment type t]], 0)</f>
        <v>NGAF 2025 table 15</v>
      </c>
      <c r="I23" s="19" t="str">
        <f>Table_SourceData_WasteSolid_WasteTreatmentEFs[[#This Row],[Waste type w]]</f>
        <v>Rubber and leather</v>
      </c>
      <c r="K23" s="1" t="str">
        <f t="shared" si="0"/>
        <v>Rubber and leather</v>
      </c>
    </row>
    <row r="24" spans="1:15" ht="20.100000000000001" customHeight="1" x14ac:dyDescent="0.2">
      <c r="D24" s="1" t="str" cm="1">
        <f t="array" ref="D24">Common_InputFunctions.Utility_DisplayArrayInTable(WasteSolid_SourceData.Waste_EmissionFactorsForWasteTreatment_Data(), Table_SourceData_WasteSolid_WasteTreatmentEFs[[#Headers],[Treatment type t]], 0)</f>
        <v>Landfill</v>
      </c>
      <c r="E24" s="19" t="str" cm="1">
        <f t="array" ref="E24">Common_InputFunctions.Utility_DisplayArrayInTable(WasteSolid_SourceData.Waste_EmissionFactorsForWasteTreatment_Data(), Table_SourceData_WasteSolid_WasteTreatmentEFs[[#Headers],[Treatment type t]], 0)</f>
        <v>Inert waste (including concrete, metal, plastic or glass)</v>
      </c>
      <c r="F24" s="19" cm="1">
        <f t="array" ref="F24">Common_InputFunctions.Utility_DisplayArrayInTable(WasteSolid_SourceData.Waste_EmissionFactorsForWasteTreatment_Data(), Table_SourceData_WasteSolid_WasteTreatmentEFs[[#Headers],[Treatment type t]], 0)</f>
        <v>0</v>
      </c>
      <c r="G24" s="19" t="str" cm="1">
        <f t="array" ref="G24">Common_InputFunctions.Utility_DisplayArrayInTable(WasteSolid_SourceData.Waste_EmissionFactorsForWasteTreatment_Data(), Table_SourceData_WasteSolid_WasteTreatmentEFs[[#Headers],[Treatment type t]], 0)</f>
        <v>NGAF 2025 table 15</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D25" s="1" t="str" cm="1">
        <f t="array" ref="D25">Common_InputFunctions.Utility_DisplayArrayInTable(WasteSolid_SourceData.Waste_EmissionFactorsForWasteTreatment_Data(), Table_SourceData_WasteSolid_WasteTreatmentEFs[[#Headers],[Treatment type t]], 0)</f>
        <v>Landfill</v>
      </c>
      <c r="E25" s="19" t="str" cm="1">
        <f t="array" ref="E25">Common_InputFunctions.Utility_DisplayArrayInTable(WasteSolid_SourceData.Waste_EmissionFactorsForWasteTreatment_Data(), Table_SourceData_WasteSolid_WasteTreatmentEFs[[#Headers],[Treatment type t]], 0)</f>
        <v>Municipal solid waste</v>
      </c>
      <c r="F25" s="19" cm="1">
        <f t="array" ref="F25">Common_InputFunctions.Utility_DisplayArrayInTable(WasteSolid_SourceData.Waste_EmissionFactorsForWasteTreatment_Data(), Table_SourceData_WasteSolid_WasteTreatmentEFs[[#Headers],[Treatment type t]], 0)</f>
        <v>1.6</v>
      </c>
      <c r="G25" s="19" t="str" cm="1">
        <f t="array" ref="G25">Common_InputFunctions.Utility_DisplayArrayInTable(WasteSolid_SourceData.Waste_EmissionFactorsForWasteTreatment_Data(), Table_SourceData_WasteSolid_WasteTreatmentEFs[[#Headers],[Treatment type t]], 0)</f>
        <v>NGAF 2025 table 15</v>
      </c>
      <c r="I25" s="19" t="str">
        <f>Table_SourceData_WasteSolid_WasteTreatmentEFs[[#This Row],[Waste type w]]</f>
        <v>Municipal solid waste</v>
      </c>
      <c r="K25" s="1" t="str">
        <f t="shared" si="0"/>
        <v>Municipal solid waste</v>
      </c>
    </row>
    <row r="26" spans="1:15" ht="20.100000000000001" customHeight="1" x14ac:dyDescent="0.2">
      <c r="A26" s="6" t="s">
        <v>2</v>
      </c>
      <c r="D26" s="1" t="str" cm="1">
        <f t="array" ref="D26">Common_InputFunctions.Utility_DisplayArrayInTable(WasteSolid_SourceData.Waste_EmissionFactorsForWasteTreatment_Data(), Table_SourceData_WasteSolid_WasteTreatmentEFs[[#Headers],[Treatment type t]], 0)</f>
        <v>Landfill</v>
      </c>
      <c r="E26" s="19" t="str" cm="1">
        <f t="array" ref="E26">Common_InputFunctions.Utility_DisplayArrayInTable(WasteSolid_SourceData.Waste_EmissionFactorsForWasteTreatment_Data(), Table_SourceData_WasteSolid_WasteTreatmentEFs[[#Headers],[Treatment type t]], 0)</f>
        <v>Commercial and industrial waste</v>
      </c>
      <c r="F26" s="19" cm="1">
        <f t="array" ref="F26">Common_InputFunctions.Utility_DisplayArrayInTable(WasteSolid_SourceData.Waste_EmissionFactorsForWasteTreatment_Data(), Table_SourceData_WasteSolid_WasteTreatmentEFs[[#Headers],[Treatment type t]], 0)</f>
        <v>1.3</v>
      </c>
      <c r="G26" s="19" t="str" cm="1">
        <f t="array" ref="G26">Common_InputFunctions.Utility_DisplayArrayInTable(WasteSolid_SourceData.Waste_EmissionFactorsForWasteTreatment_Data(), Table_SourceData_WasteSolid_WasteTreatmentEFs[[#Headers],[Treatment type t]], 0)</f>
        <v>NGAF 2025 table 15</v>
      </c>
      <c r="I26" s="19" t="str">
        <f>Table_SourceData_WasteSolid_WasteTreatmentEFs[[#This Row],[Waste type w]]</f>
        <v>Commercial and industrial waste</v>
      </c>
      <c r="K26" s="1" t="str">
        <f t="shared" si="0"/>
        <v>Commercial and industrial waste</v>
      </c>
    </row>
    <row r="27" spans="1:15" ht="20.100000000000001" customHeight="1" x14ac:dyDescent="0.2">
      <c r="A27" s="5" t="str">
        <f>HYPERLINK("#'4.6.1.1-2 Methane'!A1", "4.6.1.1-2 Manure Methane")</f>
        <v>4.6.1.1-2 Manure Methane</v>
      </c>
      <c r="D27" s="1" t="str" cm="1">
        <f t="array" ref="D27">Common_InputFunctions.Utility_DisplayArrayInTable(WasteSolid_SourceData.Waste_EmissionFactorsForWasteTreatment_Data(), Table_SourceData_WasteSolid_WasteTreatmentEFs[[#Headers],[Treatment type t]], 0)</f>
        <v>Landfill</v>
      </c>
      <c r="E27" s="19" t="str" cm="1">
        <f t="array" ref="E27">Common_InputFunctions.Utility_DisplayArrayInTable(WasteSolid_SourceData.Waste_EmissionFactorsForWasteTreatment_Data(), Table_SourceData_WasteSolid_WasteTreatmentEFs[[#Headers],[Treatment type t]], 0)</f>
        <v>Construction and demolition waste</v>
      </c>
      <c r="F27" s="19" cm="1">
        <f t="array" ref="F27">Common_InputFunctions.Utility_DisplayArrayInTable(WasteSolid_SourceData.Waste_EmissionFactorsForWasteTreatment_Data(), Table_SourceData_WasteSolid_WasteTreatmentEFs[[#Headers],[Treatment type t]], 0)</f>
        <v>0.2</v>
      </c>
      <c r="G27" s="19" t="str" cm="1">
        <f t="array" ref="G27">Common_InputFunctions.Utility_DisplayArrayInTable(WasteSolid_SourceData.Waste_EmissionFactorsForWasteTreatment_Data(), Table_SourceData_WasteSolid_WasteTreatmentEFs[[#Headers],[Treatment type t]], 0)</f>
        <v>NGAF 2025 table 15</v>
      </c>
      <c r="I27" s="19" t="str">
        <f>Table_SourceData_WasteSolid_WasteTreatmentEFs[[#This Row],[Waste type w]]</f>
        <v>Construction and demolition waste</v>
      </c>
    </row>
    <row r="28" spans="1:15" ht="20.100000000000001" customHeight="1" x14ac:dyDescent="0.2">
      <c r="A28" s="5" t="str">
        <f>HYPERLINK("#'4.6.1.3-4 Direct N20'!A1", "4.6.1.3-4 Manure Direct N2O")</f>
        <v>4.6.1.3-4 Manure Direct N2O</v>
      </c>
      <c r="D28" s="1" t="str" cm="1">
        <f t="array" ref="D28">Common_InputFunctions.Utility_DisplayArrayInTable(WasteSolid_SourceData.Waste_EmissionFactorsForWasteTreatment_Data(), Table_SourceData_WasteSolid_WasteTreatmentEFs[[#Headers],[Treatment type t]], 0)</f>
        <v>Incineration</v>
      </c>
      <c r="E28" s="19" t="str" cm="1">
        <f t="array" ref="E28">Common_InputFunctions.Utility_DisplayArrayInTable(WasteSolid_SourceData.Waste_EmissionFactorsForWasteTreatment_Data(), Table_SourceData_WasteSolid_WasteTreatmentEFs[[#Headers],[Treatment type t]], 0)</f>
        <v>Food waste, green waste, wood, sludge</v>
      </c>
      <c r="F28" s="19" cm="1">
        <f t="array" ref="F28">Common_InputFunctions.Utility_DisplayArrayInTable(WasteSolid_SourceData.Waste_EmissionFactorsForWasteTreatment_Data(), Table_SourceData_WasteSolid_WasteTreatmentEFs[[#Headers],[Treatment type t]], 0)</f>
        <v>0</v>
      </c>
      <c r="G28" s="19"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
      <c r="A29" s="5" t="str">
        <f>HYPERLINK("#'4.6.1.5-6 Atmos Dep'!A1", "4.6.1.5-6 Manure Atmos Dep")</f>
        <v>4.6.1.5-6 Manure Atmos Dep</v>
      </c>
      <c r="D29" s="1" t="str" cm="1">
        <f t="array" ref="D29">Common_InputFunctions.Utility_DisplayArrayInTable(WasteSolid_SourceData.Waste_EmissionFactorsForWasteTreatment_Data(), Table_SourceData_WasteSolid_WasteTreatmentEFs[[#Headers],[Treatment type t]], 0)</f>
        <v>Incineration</v>
      </c>
      <c r="E29" s="19"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9" cm="1">
        <f t="array" ref="F29">Common_InputFunctions.Utility_DisplayArrayInTable(WasteSolid_SourceData.Waste_EmissionFactorsForWasteTreatment_Data(), Table_SourceData_WasteSolid_WasteTreatmentEFs[[#Headers],[Treatment type t]], 0)</f>
        <v>0</v>
      </c>
      <c r="G29" s="19"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
      <c r="A30" s="5" t="str">
        <f>HYPERLINK("#'4.6.1.7-8 Leaching and runoff'!A1", "4.6.1.7-8 Manure Leaching and runoff")</f>
        <v>4.6.1.7-8 Manure Leaching and runoff</v>
      </c>
      <c r="D30" s="1" t="str" cm="1">
        <f t="array" ref="D30">Common_InputFunctions.Utility_DisplayArrayInTable(WasteSolid_SourceData.Waste_EmissionFactorsForWasteTreatment_Data(), Table_SourceData_WasteSolid_WasteTreatmentEFs[[#Headers],[Treatment type t]], 0)</f>
        <v>Incineration</v>
      </c>
      <c r="E30" s="19" t="str" cm="1">
        <f t="array" ref="E30">Common_InputFunctions.Utility_DisplayArrayInTable(WasteSolid_SourceData.Waste_EmissionFactorsForWasteTreatment_Data(), Table_SourceData_WasteSolid_WasteTreatmentEFs[[#Headers],[Treatment type t]], 0)</f>
        <v>Green waste (including crop residues or prunings)</v>
      </c>
      <c r="F30" s="19" cm="1">
        <f t="array" ref="F30">Common_InputFunctions.Utility_DisplayArrayInTable(WasteSolid_SourceData.Waste_EmissionFactorsForWasteTreatment_Data(), Table_SourceData_WasteSolid_WasteTreatmentEFs[[#Headers],[Treatment type t]], 0)</f>
        <v>0</v>
      </c>
      <c r="G30" s="19"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
      <c r="A31" s="5" t="str">
        <f>HYPERLINK("#'4.6.1.9 Manure applied to soils'!A1", "4.6.1.9 Manure applied to soils")</f>
        <v>4.6.1.9 Manure applied to soils</v>
      </c>
      <c r="D31" s="1" t="str" cm="1">
        <f t="array" ref="D31">Common_InputFunctions.Utility_DisplayArrayInTable(WasteSolid_SourceData.Waste_EmissionFactorsForWasteTreatment_Data(), Table_SourceData_WasteSolid_WasteTreatmentEFs[[#Headers],[Treatment type t]], 0)</f>
        <v>Incineration</v>
      </c>
      <c r="E31" s="19" t="str" cm="1">
        <f t="array" ref="E31">Common_InputFunctions.Utility_DisplayArrayInTable(WasteSolid_SourceData.Waste_EmissionFactorsForWasteTreatment_Data(), Table_SourceData_WasteSolid_WasteTreatmentEFs[[#Headers],[Treatment type t]], 0)</f>
        <v>Wood</v>
      </c>
      <c r="F31" s="19" cm="1">
        <f t="array" ref="F31">Common_InputFunctions.Utility_DisplayArrayInTable(WasteSolid_SourceData.Waste_EmissionFactorsForWasteTreatment_Data(), Table_SourceData_WasteSolid_WasteTreatmentEFs[[#Headers],[Treatment type t]], 0)</f>
        <v>0</v>
      </c>
      <c r="G31" s="19"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
      <c r="A32" s="5" t="str">
        <f>HYPERLINK("#'4.6.1.10-11 Soil direct N2O'!A1", "4.6.1.10-11 Soil direct N2O")</f>
        <v>4.6.1.10-11 Soil direct N2O</v>
      </c>
      <c r="D32" s="1" t="str" cm="1">
        <f t="array" ref="D32">Common_InputFunctions.Utility_DisplayArrayInTable(WasteSolid_SourceData.Waste_EmissionFactorsForWasteTreatment_Data(), Table_SourceData_WasteSolid_WasteTreatmentEFs[[#Headers],[Treatment type t]], 0)</f>
        <v>Incineration</v>
      </c>
      <c r="E32" s="19" t="str" cm="1">
        <f t="array" ref="E32">Common_InputFunctions.Utility_DisplayArrayInTable(WasteSolid_SourceData.Waste_EmissionFactorsForWasteTreatment_Data(), Table_SourceData_WasteSolid_WasteTreatmentEFs[[#Headers],[Treatment type t]], 0)</f>
        <v>Sludge</v>
      </c>
      <c r="F32" s="19" cm="1">
        <f t="array" ref="F32">Common_InputFunctions.Utility_DisplayArrayInTable(WasteSolid_SourceData.Waste_EmissionFactorsForWasteTreatment_Data(), Table_SourceData_WasteSolid_WasteTreatmentEFs[[#Headers],[Treatment type t]], 0)</f>
        <v>0</v>
      </c>
      <c r="G32" s="19"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
      <c r="A33" s="5" t="str">
        <f>HYPERLINK("#'4.6.1.12-13 Soil atmos dep'!A1", "4.6.1.12-13 Soil atmos dep")</f>
        <v>4.6.1.12-13 Soil atmos dep</v>
      </c>
      <c r="D33" s="1" t="str" cm="1">
        <f t="array" ref="D33">Common_InputFunctions.Utility_DisplayArrayInTable(WasteSolid_SourceData.Waste_EmissionFactorsForWasteTreatment_Data(), Table_SourceData_WasteSolid_WasteTreatmentEFs[[#Headers],[Treatment type t]], 0)</f>
        <v>Incineration</v>
      </c>
      <c r="E33" s="19" t="str" cm="1">
        <f t="array" ref="E33">Common_InputFunctions.Utility_DisplayArrayInTable(WasteSolid_SourceData.Waste_EmissionFactorsForWasteTreatment_Data(), Table_SourceData_WasteSolid_WasteTreatmentEFs[[#Headers],[Treatment type t]], 0)</f>
        <v>Paper and cardboard</v>
      </c>
      <c r="F33" s="19" cm="1">
        <f t="array" ref="F33">Common_InputFunctions.Utility_DisplayArrayInTable(WasteSolid_SourceData.Waste_EmissionFactorsForWasteTreatment_Data(), Table_SourceData_WasteSolid_WasteTreatmentEFs[[#Headers],[Treatment type t]], 0)</f>
        <v>1.6899999999999998E-2</v>
      </c>
      <c r="G33" s="19"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
      <c r="A34" s="5" t="str">
        <f>HYPERLINK("#'4.6.1.14-15 Soil leach runoff'!A1", "4.6.1.14-15 Soil leach runoff")</f>
        <v>4.6.1.14-15 Soil leach runoff</v>
      </c>
      <c r="D34" s="1" t="str" cm="1">
        <f t="array" ref="D34">Common_InputFunctions.Utility_DisplayArrayInTable(WasteSolid_SourceData.Waste_EmissionFactorsForWasteTreatment_Data(), Table_SourceData_WasteSolid_WasteTreatmentEFs[[#Headers],[Treatment type t]], 0)</f>
        <v>Incineration</v>
      </c>
      <c r="E34" s="19" t="str" cm="1">
        <f t="array" ref="E34">Common_InputFunctions.Utility_DisplayArrayInTable(WasteSolid_SourceData.Waste_EmissionFactorsForWasteTreatment_Data(), Table_SourceData_WasteSolid_WasteTreatmentEFs[[#Headers],[Treatment type t]], 0)</f>
        <v>Textiles</v>
      </c>
      <c r="F34" s="19" cm="1">
        <f t="array" ref="F34">Common_InputFunctions.Utility_DisplayArrayInTable(WasteSolid_SourceData.Waste_EmissionFactorsForWasteTreatment_Data(), Table_SourceData_WasteSolid_WasteTreatmentEFs[[#Headers],[Treatment type t]], 0)</f>
        <v>0.36670000000000003</v>
      </c>
      <c r="G34" s="19"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
      <c r="A35" s="5" t="str">
        <f>HYPERLINK("#'8.1.1.1-2 Transport fuel'!A1", "8.1.1.1-2 Transport fuel")</f>
        <v>8.1.1.1-2 Transport fuel</v>
      </c>
      <c r="D35" s="1" t="str" cm="1">
        <f t="array" ref="D35">Common_InputFunctions.Utility_DisplayArrayInTable(WasteSolid_SourceData.Waste_EmissionFactorsForWasteTreatment_Data(), Table_SourceData_WasteSolid_WasteTreatmentEFs[[#Headers],[Treatment type t]], 0)</f>
        <v>Incineration</v>
      </c>
      <c r="E35" s="19" t="str" cm="1">
        <f t="array" ref="E35">Common_InputFunctions.Utility_DisplayArrayInTable(WasteSolid_SourceData.Waste_EmissionFactorsForWasteTreatment_Data(), Table_SourceData_WasteSolid_WasteTreatmentEFs[[#Headers],[Treatment type t]], 0)</f>
        <v>Rubber and leather</v>
      </c>
      <c r="F35" s="19" cm="1">
        <f t="array" ref="F35">Common_InputFunctions.Utility_DisplayArrayInTable(WasteSolid_SourceData.Waste_EmissionFactorsForWasteTreatment_Data(), Table_SourceData_WasteSolid_WasteTreatmentEFs[[#Headers],[Treatment type t]], 0)</f>
        <v>0.4919</v>
      </c>
      <c r="G35" s="19"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
      <c r="A36" s="5" t="str">
        <f>HYPERLINK("#'8.2.1.1-2 Stationary fuel'!A1", "8.2.1.1-2 Stationary fuel")</f>
        <v>8.2.1.1-2 Stationary fuel</v>
      </c>
      <c r="D36" s="1" t="str" cm="1">
        <f t="array" ref="D36">Common_InputFunctions.Utility_DisplayArrayInTable(WasteSolid_SourceData.Waste_EmissionFactorsForWasteTreatment_Data(), Table_SourceData_WasteSolid_WasteTreatmentEFs[[#Headers],[Treatment type t]], 0)</f>
        <v>Incineration</v>
      </c>
      <c r="E36" s="19" t="str" cm="1">
        <f t="array" ref="E36">Common_InputFunctions.Utility_DisplayArrayInTable(WasteSolid_SourceData.Waste_EmissionFactorsForWasteTreatment_Data(), Table_SourceData_WasteSolid_WasteTreatmentEFs[[#Headers],[Treatment type t]], 0)</f>
        <v>Inert waste (including concrete, metal, plastic or glass)</v>
      </c>
      <c r="F36" s="19" cm="1">
        <f t="array" ref="F36">Common_InputFunctions.Utility_DisplayArrayInTable(WasteSolid_SourceData.Waste_EmissionFactorsForWasteTreatment_Data(), Table_SourceData_WasteSolid_WasteTreatmentEFs[[#Headers],[Treatment type t]], 0)</f>
        <v>0.11</v>
      </c>
      <c r="G36" s="19"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
      <c r="A37" s="5" t="str">
        <f>HYPERLINK("#'10.1.1-2 Solid waste treatment'!A1", "10.1.1.1-2 Solid waste")</f>
        <v>10.1.1.1-2 Solid waste</v>
      </c>
      <c r="D37" s="1" t="str" cm="1">
        <f t="array" ref="D37">Common_InputFunctions.Utility_DisplayArrayInTable(WasteSolid_SourceData.Waste_EmissionFactorsForWasteTreatment_Data(), Table_SourceData_WasteSolid_WasteTreatmentEFs[[#Headers],[Treatment type t]], 0)</f>
        <v>Incineration</v>
      </c>
      <c r="E37" s="19" t="str" cm="1">
        <f t="array" ref="E37">Common_InputFunctions.Utility_DisplayArrayInTable(WasteSolid_SourceData.Waste_EmissionFactorsForWasteTreatment_Data(), Table_SourceData_WasteSolid_WasteTreatmentEFs[[#Headers],[Treatment type t]], 0)</f>
        <v>Municipal solid waste</v>
      </c>
      <c r="F37" s="19" cm="1">
        <f t="array" ref="F37">Common_InputFunctions.Utility_DisplayArrayInTable(WasteSolid_SourceData.Waste_EmissionFactorsForWasteTreatment_Data(), Table_SourceData_WasteSolid_WasteTreatmentEFs[[#Headers],[Treatment type t]], 0)</f>
        <v>5.3699999999999998E-2</v>
      </c>
      <c r="G37" s="238"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
      <c r="A38" s="5" t="str">
        <f>HYPERLINK("#'14.1.1-2 Purchased electricity'!A1", "14.1.1-2 Purchased electricity")</f>
        <v>14.1.1-2 Purchased electricity</v>
      </c>
      <c r="D38" s="1" t="str" cm="1">
        <f t="array" ref="D38">Common_InputFunctions.Utility_DisplayArrayInTable(WasteSolid_SourceData.Waste_EmissionFactorsForWasteTreatment_Data(), Table_SourceData_WasteSolid_WasteTreatmentEFs[[#Headers],[Treatment type t]], 0)</f>
        <v>Incineration</v>
      </c>
      <c r="E38" s="19" t="str" cm="1">
        <f t="array" ref="E38">Common_InputFunctions.Utility_DisplayArrayInTable(WasteSolid_SourceData.Waste_EmissionFactorsForWasteTreatment_Data(), Table_SourceData_WasteSolid_WasteTreatmentEFs[[#Headers],[Treatment type t]], 0)</f>
        <v>Commercial and industrial waste</v>
      </c>
      <c r="F38" s="19" cm="1">
        <f t="array" ref="F38">Common_InputFunctions.Utility_DisplayArrayInTable(WasteSolid_SourceData.Waste_EmissionFactorsForWasteTreatment_Data(), Table_SourceData_WasteSolid_WasteTreatmentEFs[[#Headers],[Treatment type t]], 0)</f>
        <v>1.649</v>
      </c>
      <c r="G38" s="238"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
      <c r="A39" s="5" t="str">
        <f>HYPERLINK("#'15 Scope 3'!A1", "15 Scope 3")</f>
        <v>15 Scope 3</v>
      </c>
      <c r="D39" s="1" t="str" cm="1">
        <f t="array" ref="D39">Common_InputFunctions.Utility_DisplayArrayInTable(WasteSolid_SourceData.Waste_EmissionFactorsForWasteTreatment_Data(), Table_SourceData_WasteSolid_WasteTreatmentEFs[[#Headers],[Treatment type t]], 0)</f>
        <v>Composting</v>
      </c>
      <c r="E39" s="19" t="str" cm="1">
        <f t="array" ref="E39">Common_InputFunctions.Utility_DisplayArrayInTable(WasteSolid_SourceData.Waste_EmissionFactorsForWasteTreatment_Data(), Table_SourceData_WasteSolid_WasteTreatmentEFs[[#Headers],[Treatment type t]], 0)</f>
        <v>All organic waste</v>
      </c>
      <c r="F39" s="19" cm="1">
        <f t="array" ref="F39">Common_InputFunctions.Utility_DisplayArrayInTable(WasteSolid_SourceData.Waste_EmissionFactorsForWasteTreatment_Data(), Table_SourceData_WasteSolid_WasteTreatmentEFs[[#Headers],[Treatment type t]], 0)</f>
        <v>4.5999999999999999E-2</v>
      </c>
      <c r="G39" s="238"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
      <c r="A40" s="5" t="str">
        <f>HYPERLINK("#'Calcs - Manure sent off-site'!A1", "Calcs - Manure sent off-site")</f>
        <v>Calcs - Manure sent off-site</v>
      </c>
      <c r="D40" s="1" t="str" cm="1">
        <f t="array" ref="D40">Common_InputFunctions.Utility_DisplayArrayInTable(WasteSolid_SourceData.Waste_EmissionFactorsForWasteTreatment_Data(), Table_SourceData_WasteSolid_WasteTreatmentEFs[[#Headers],[Treatment type t]], 0)</f>
        <v>Composting</v>
      </c>
      <c r="E40" s="19"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9" cm="1">
        <f t="array" ref="F40">Common_InputFunctions.Utility_DisplayArrayInTable(WasteSolid_SourceData.Waste_EmissionFactorsForWasteTreatment_Data(), Table_SourceData_WasteSolid_WasteTreatmentEFs[[#Headers],[Treatment type t]], 0)</f>
        <v>4.5999999999999999E-2</v>
      </c>
      <c r="G40" s="238"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
      <c r="A41" s="5" t="str">
        <f>HYPERLINK("#'5.1.1.1-2 Inorganic fert N2O'!A1", "5.1.1.1-2 Inorganic fert N2O")</f>
        <v>5.1.1.1-2 Inorganic fert N2O</v>
      </c>
      <c r="D41" s="1" t="str" cm="1">
        <f t="array" ref="D41">Common_InputFunctions.Utility_DisplayArrayInTable(WasteSolid_SourceData.Waste_EmissionFactorsForWasteTreatment_Data(), Table_SourceData_WasteSolid_WasteTreatmentEFs[[#Headers],[Treatment type t]], 0)</f>
        <v>Composting</v>
      </c>
      <c r="E41" s="19" t="str" cm="1">
        <f t="array" ref="E41">Common_InputFunctions.Utility_DisplayArrayInTable(WasteSolid_SourceData.Waste_EmissionFactorsForWasteTreatment_Data(), Table_SourceData_WasteSolid_WasteTreatmentEFs[[#Headers],[Treatment type t]], 0)</f>
        <v>Green waste (including crop residues or prunings)</v>
      </c>
      <c r="F41" s="19" cm="1">
        <f t="array" ref="F41">Common_InputFunctions.Utility_DisplayArrayInTable(WasteSolid_SourceData.Waste_EmissionFactorsForWasteTreatment_Data(), Table_SourceData_WasteSolid_WasteTreatmentEFs[[#Headers],[Treatment type t]], 0)</f>
        <v>4.5999999999999999E-2</v>
      </c>
      <c r="G41" s="238"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
      <c r="A42" s="5" t="str">
        <f>HYPERLINK("#'5.1.1.3-4 Inorganic fert CO2'!A1", "5.1.1.3-4 Inorganic fert CO2")</f>
        <v>5.1.1.3-4 Inorganic fert CO2</v>
      </c>
      <c r="D42" s="1" t="str" cm="1">
        <f t="array" ref="D42">Common_InputFunctions.Utility_DisplayArrayInTable(WasteSolid_SourceData.Waste_EmissionFactorsForWasteTreatment_Data(), Table_SourceData_WasteSolid_WasteTreatmentEFs[[#Headers],[Treatment type t]], 0)</f>
        <v>Composting</v>
      </c>
      <c r="E42" s="19" t="str" cm="1">
        <f t="array" ref="E42">Common_InputFunctions.Utility_DisplayArrayInTable(WasteSolid_SourceData.Waste_EmissionFactorsForWasteTreatment_Data(), Table_SourceData_WasteSolid_WasteTreatmentEFs[[#Headers],[Treatment type t]], 0)</f>
        <v>Wood</v>
      </c>
      <c r="F42" s="19" cm="1">
        <f t="array" ref="F42">Common_InputFunctions.Utility_DisplayArrayInTable(WasteSolid_SourceData.Waste_EmissionFactorsForWasteTreatment_Data(), Table_SourceData_WasteSolid_WasteTreatmentEFs[[#Headers],[Treatment type t]], 0)</f>
        <v>4.5999999999999999E-2</v>
      </c>
      <c r="G42" s="238"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
      <c r="A43" s="5" t="str">
        <f>HYPERLINK("#'5.2.1.1-2 Organic Fert N2O'!A1", "5.2.1.1-2 Organic Fert N2O")</f>
        <v>5.2.1.1-2 Organic Fert N2O</v>
      </c>
      <c r="D43" s="1" t="str" cm="1">
        <f t="array" ref="D43">Common_InputFunctions.Utility_DisplayArrayInTable(WasteSolid_SourceData.Waste_EmissionFactorsForWasteTreatment_Data(), Table_SourceData_WasteSolid_WasteTreatmentEFs[[#Headers],[Treatment type t]], 0)</f>
        <v>Composting</v>
      </c>
      <c r="E43" s="19" t="str" cm="1">
        <f t="array" ref="E43">Common_InputFunctions.Utility_DisplayArrayInTable(WasteSolid_SourceData.Waste_EmissionFactorsForWasteTreatment_Data(), Table_SourceData_WasteSolid_WasteTreatmentEFs[[#Headers],[Treatment type t]], 0)</f>
        <v>Sludge</v>
      </c>
      <c r="F43" s="19" cm="1">
        <f t="array" ref="F43">Common_InputFunctions.Utility_DisplayArrayInTable(WasteSolid_SourceData.Waste_EmissionFactorsForWasteTreatment_Data(), Table_SourceData_WasteSolid_WasteTreatmentEFs[[#Headers],[Treatment type t]], 0)</f>
        <v>4.5999999999999999E-2</v>
      </c>
      <c r="G43" s="238"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
      <c r="A44" s="5" t="str">
        <f>HYPERLINK("#'5.3.1.1-2 Lime CO2'!A1", "5.3.1.1-2 Lime CO2")</f>
        <v>5.3.1.1-2 Lime CO2</v>
      </c>
      <c r="D44" s="1" t="str" cm="1">
        <f t="array" ref="D44">Common_InputFunctions.Utility_DisplayArrayInTable(WasteSolid_SourceData.Waste_EmissionFactorsForWasteTreatment_Data(), Table_SourceData_WasteSolid_WasteTreatmentEFs[[#Headers],[Treatment type t]], 0)</f>
        <v>Composting</v>
      </c>
      <c r="E44" s="19" t="str" cm="1">
        <f t="array" ref="E44">Common_InputFunctions.Utility_DisplayArrayInTable(WasteSolid_SourceData.Waste_EmissionFactorsForWasteTreatment_Data(), Table_SourceData_WasteSolid_WasteTreatmentEFs[[#Headers],[Treatment type t]], 0)</f>
        <v>Paper and cardboard</v>
      </c>
      <c r="F44" s="19" cm="1">
        <f t="array" ref="F44">Common_InputFunctions.Utility_DisplayArrayInTable(WasteSolid_SourceData.Waste_EmissionFactorsForWasteTreatment_Data(), Table_SourceData_WasteSolid_WasteTreatmentEFs[[#Headers],[Treatment type t]], 0)</f>
        <v>4.5999999999999999E-2</v>
      </c>
      <c r="G44" s="238"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
      <c r="A45" s="5" t="str">
        <f>HYPERLINK("#'5.4.1.1-4 Atmos deposition'!A1", "5.4.1.1-4 Atmos deposition")</f>
        <v>5.4.1.1-4 Atmos deposition</v>
      </c>
      <c r="D45" s="1" t="str" cm="1">
        <f t="array" ref="D45">Common_InputFunctions.Utility_DisplayArrayInTable(WasteSolid_SourceData.Waste_EmissionFactorsForWasteTreatment_Data(), Table_SourceData_WasteSolid_WasteTreatmentEFs[[#Headers],[Treatment type t]], 0)</f>
        <v>Anaerobic digestion</v>
      </c>
      <c r="E45" s="19" t="str" cm="1">
        <f t="array" ref="E45">Common_InputFunctions.Utility_DisplayArrayInTable(WasteSolid_SourceData.Waste_EmissionFactorsForWasteTreatment_Data(), Table_SourceData_WasteSolid_WasteTreatmentEFs[[#Headers],[Treatment type t]], 0)</f>
        <v>All organic waste</v>
      </c>
      <c r="F45" s="19" cm="1">
        <f t="array" ref="F45">Common_InputFunctions.Utility_DisplayArrayInTable(WasteSolid_SourceData.Waste_EmissionFactorsForWasteTreatment_Data(), Table_SourceData_WasteSolid_WasteTreatmentEFs[[#Headers],[Treatment type t]], 0)</f>
        <v>2.8000000000000001E-2</v>
      </c>
      <c r="G45" s="238"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
      <c r="A46" s="5" t="str">
        <f>HYPERLINK("#'5.5.1.1-2 Leaching and runoff'!A1", "5.5.1.1-2 Leaching and runoff")</f>
        <v>5.5.1.1-2 Leaching and runoff</v>
      </c>
      <c r="D46" s="1" t="str" cm="1">
        <f t="array" ref="D46">Common_InputFunctions.Utility_DisplayArrayInTable(WasteSolid_SourceData.Waste_EmissionFactorsForWasteTreatment_Data(), Table_SourceData_WasteSolid_WasteTreatmentEFs[[#Headers],[Treatment type t]], 0)</f>
        <v>Anaerobic digestion</v>
      </c>
      <c r="E46" s="19"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9" cm="1">
        <f t="array" ref="F46">Common_InputFunctions.Utility_DisplayArrayInTable(WasteSolid_SourceData.Waste_EmissionFactorsForWasteTreatment_Data(), Table_SourceData_WasteSolid_WasteTreatmentEFs[[#Headers],[Treatment type t]], 0)</f>
        <v>2.8000000000000001E-2</v>
      </c>
      <c r="G46" s="238"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
      <c r="D47" s="1" t="str" cm="1">
        <f t="array" ref="D47">Common_InputFunctions.Utility_DisplayArrayInTable(WasteSolid_SourceData.Waste_EmissionFactorsForWasteTreatment_Data(), Table_SourceData_WasteSolid_WasteTreatmentEFs[[#Headers],[Treatment type t]], 0)</f>
        <v>Anaerobic digestion</v>
      </c>
      <c r="E47" s="19" t="str" cm="1">
        <f t="array" ref="E47">Common_InputFunctions.Utility_DisplayArrayInTable(WasteSolid_SourceData.Waste_EmissionFactorsForWasteTreatment_Data(), Table_SourceData_WasteSolid_WasteTreatmentEFs[[#Headers],[Treatment type t]], 0)</f>
        <v>Green waste (including crop residues or prunings)</v>
      </c>
      <c r="F47" s="19" cm="1">
        <f t="array" ref="F47">Common_InputFunctions.Utility_DisplayArrayInTable(WasteSolid_SourceData.Waste_EmissionFactorsForWasteTreatment_Data(), Table_SourceData_WasteSolid_WasteTreatmentEFs[[#Headers],[Treatment type t]], 0)</f>
        <v>2.8000000000000001E-2</v>
      </c>
      <c r="G47" s="238"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
      <c r="D48" s="1" t="str" cm="1">
        <f t="array" ref="D48">Common_InputFunctions.Utility_DisplayArrayInTable(WasteSolid_SourceData.Waste_EmissionFactorsForWasteTreatment_Data(), Table_SourceData_WasteSolid_WasteTreatmentEFs[[#Headers],[Treatment type t]], 0)</f>
        <v>Anaerobic digestion</v>
      </c>
      <c r="E48" s="19" t="str" cm="1">
        <f t="array" ref="E48">Common_InputFunctions.Utility_DisplayArrayInTable(WasteSolid_SourceData.Waste_EmissionFactorsForWasteTreatment_Data(), Table_SourceData_WasteSolid_WasteTreatmentEFs[[#Headers],[Treatment type t]], 0)</f>
        <v>Wood</v>
      </c>
      <c r="F48" s="19" cm="1">
        <f t="array" ref="F48">Common_InputFunctions.Utility_DisplayArrayInTable(WasteSolid_SourceData.Waste_EmissionFactorsForWasteTreatment_Data(), Table_SourceData_WasteSolid_WasteTreatmentEFs[[#Headers],[Treatment type t]], 0)</f>
        <v>2.8000000000000001E-2</v>
      </c>
      <c r="G48" s="238"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
      <c r="A49" s="80" t="s">
        <v>1</v>
      </c>
      <c r="D49" s="1" t="str" cm="1">
        <f t="array" ref="D49">Common_InputFunctions.Utility_DisplayArrayInTable(WasteSolid_SourceData.Waste_EmissionFactorsForWasteTreatment_Data(), Table_SourceData_WasteSolid_WasteTreatmentEFs[[#Headers],[Treatment type t]], 0)</f>
        <v>Anaerobic digestion</v>
      </c>
      <c r="E49" s="19" t="str" cm="1">
        <f t="array" ref="E49">Common_InputFunctions.Utility_DisplayArrayInTable(WasteSolid_SourceData.Waste_EmissionFactorsForWasteTreatment_Data(), Table_SourceData_WasteSolid_WasteTreatmentEFs[[#Headers],[Treatment type t]], 0)</f>
        <v>Sludge</v>
      </c>
      <c r="F49" s="19" cm="1">
        <f t="array" ref="F49">Common_InputFunctions.Utility_DisplayArrayInTable(WasteSolid_SourceData.Waste_EmissionFactorsForWasteTreatment_Data(), Table_SourceData_WasteSolid_WasteTreatmentEFs[[#Headers],[Treatment type t]], 0)</f>
        <v>2.8000000000000001E-2</v>
      </c>
      <c r="G49" s="238"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
      <c r="A50" s="5" t="str">
        <f>HYPERLINK("#'Constants - Poultry'!A1", "Constants - Poultry")</f>
        <v>Constants - Poultry</v>
      </c>
      <c r="D50" s="1" t="str" cm="1">
        <f t="array" ref="D50">Common_InputFunctions.Utility_DisplayArrayInTable(WasteSolid_SourceData.Waste_EmissionFactorsForWasteTreatment_Data(), Table_SourceData_WasteSolid_WasteTreatmentEFs[[#Headers],[Treatment type t]], 0)</f>
        <v>Anaerobic digestion</v>
      </c>
      <c r="E50" s="19" t="str" cm="1">
        <f t="array" ref="E50">Common_InputFunctions.Utility_DisplayArrayInTable(WasteSolid_SourceData.Waste_EmissionFactorsForWasteTreatment_Data(), Table_SourceData_WasteSolid_WasteTreatmentEFs[[#Headers],[Treatment type t]], 0)</f>
        <v>Paper and cardboard</v>
      </c>
      <c r="F50" s="19" cm="1">
        <f t="array" ref="F50">Common_InputFunctions.Utility_DisplayArrayInTable(WasteSolid_SourceData.Waste_EmissionFactorsForWasteTreatment_Data(), Table_SourceData_WasteSolid_WasteTreatmentEFs[[#Headers],[Treatment type t]], 0)</f>
        <v>2.8000000000000001E-2</v>
      </c>
      <c r="G50" s="238"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
      <c r="A51" s="5" t="str">
        <f>HYPERLINK("#'Constants - Common livestock'!A1", "Constants - Common Livestock")</f>
        <v>Constants - Common Livestock</v>
      </c>
    </row>
    <row r="52" spans="1:7" ht="20.100000000000001" customHeight="1" x14ac:dyDescent="0.2">
      <c r="A52" s="5" t="str">
        <f>HYPERLINK("#'Constants - Electricity'!A1", "Constants - Electricity")</f>
        <v>Constants - Electricity</v>
      </c>
      <c r="D52" s="2" t="str" cm="1">
        <f t="array" ref="D52">WasteSolid_SourceData.Waste_WasteVolumeToMassConversion_Title()</f>
        <v>Volume to mass conversion factor for various waste types</v>
      </c>
    </row>
    <row r="53" spans="1:7" ht="20.100000000000001" customHeight="1" x14ac:dyDescent="0.2">
      <c r="A53" s="5" t="str">
        <f>HYPERLINK("#'Constants - Fertiliser'!A1", "Constants - Fertiliser")</f>
        <v>Constants - Fertiliser</v>
      </c>
      <c r="D53" s="17" t="str" cm="1">
        <f t="array" ref="D53">WasteSolid_SourceData.Waste_WasteVolumeToMassConversion_Source()</f>
        <v>VEERG 2026: Table A.4.1.2</v>
      </c>
    </row>
    <row r="54" spans="1:7" ht="20.100000000000001" customHeight="1" x14ac:dyDescent="0.2">
      <c r="A54" s="5" t="str">
        <f>HYPERLINK("#'Constants - Fuel'!A1", "Constants - Fuel")</f>
        <v>Constants - Fuel</v>
      </c>
      <c r="D54" s="25" t="str" cm="1">
        <f t="array" ref="D54">WasteSolid_SourceData.Waste_WasteVolumeToMassConversion_Variation()</f>
        <v>VARIATION OF SOURCE: Changed column header CFw to VTMw to match title variable.</v>
      </c>
    </row>
    <row r="55" spans="1:7" ht="20.100000000000001" customHeight="1" x14ac:dyDescent="0.2">
      <c r="A55" s="5" t="str">
        <f>HYPERLINK("#'Constants - Scope 3'!A1", "Constants - Scope 3")</f>
        <v>Constants - Scope 3</v>
      </c>
      <c r="D55" s="1" t="str" cm="1">
        <f t="array" ref="D55">WasteSolid_SourceData.Waste_WasteVolumeToMassConversion_Variable()</f>
        <v>VTMw</v>
      </c>
    </row>
    <row r="56" spans="1:7" ht="20.100000000000001" customHeight="1" x14ac:dyDescent="0.2">
      <c r="A56" s="81" t="str">
        <f>HYPERLINK("#'Constants - Solid Waste'!A1", "Constants - Solid Waste")</f>
        <v>Constants - Solid Waste</v>
      </c>
      <c r="D56" s="9" t="str" cm="1">
        <f t="array" ref="D56">WasteSolid_SourceData.Waste_WasteVolumeToMassConversion_Unit()</f>
        <v>t/m3</v>
      </c>
    </row>
    <row r="57" spans="1:7" ht="20.100000000000001" customHeight="1" x14ac:dyDescent="0.2">
      <c r="A57" s="5" t="str">
        <f>HYPERLINK("#'Constants - Common'!A1", "Constants - Common")</f>
        <v>Constants - Common</v>
      </c>
      <c r="D57" s="19" t="s">
        <v>937</v>
      </c>
      <c r="E57" s="19" t="s">
        <v>940</v>
      </c>
    </row>
    <row r="58" spans="1:7" ht="20.100000000000001" customHeight="1" x14ac:dyDescent="0.2">
      <c r="D58" s="19"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9" cm="1">
        <f t="array" ref="E58">Common_InputFunctions.Utility_DisplayArrayInTable(WasteSolid_SourceData.Waste_WasteVolumeToMassConversion_Data(), Table_SourceData_WasteSolid_VolumeToMassConversion[[#Headers],[Waste type w]], 0)</f>
        <v>0.5</v>
      </c>
    </row>
    <row r="59" spans="1:7" ht="20.100000000000001" customHeight="1" x14ac:dyDescent="0.2">
      <c r="D59" s="1" t="str" cm="1">
        <f t="array" ref="D59">Common_InputFunctions.Utility_DisplayArrayInTable(WasteSolid_SourceData.Waste_WasteVolumeToMassConversion_Data(), Table_SourceData_WasteSolid_VolumeToMassConversion[[#Headers],[Waste type w]], 0)</f>
        <v>Paper and cardboard</v>
      </c>
      <c r="E59" s="19" cm="1">
        <f t="array" ref="E59">Common_InputFunctions.Utility_DisplayArrayInTable(WasteSolid_SourceData.Waste_WasteVolumeToMassConversion_Data(), Table_SourceData_WasteSolid_VolumeToMassConversion[[#Headers],[Waste type w]], 0)</f>
        <v>0.09</v>
      </c>
    </row>
    <row r="60" spans="1:7" ht="20.100000000000001" customHeight="1" x14ac:dyDescent="0.2">
      <c r="D60" s="1" t="str" cm="1">
        <f t="array" ref="D60">Common_InputFunctions.Utility_DisplayArrayInTable(WasteSolid_SourceData.Waste_WasteVolumeToMassConversion_Data(), Table_SourceData_WasteSolid_VolumeToMassConversion[[#Headers],[Waste type w]], 0)</f>
        <v>Green waste (including crop residues or prunings)</v>
      </c>
      <c r="E60" s="19" cm="1">
        <f t="array" ref="E60">Common_InputFunctions.Utility_DisplayArrayInTable(WasteSolid_SourceData.Waste_WasteVolumeToMassConversion_Data(), Table_SourceData_WasteSolid_VolumeToMassConversion[[#Headers],[Waste type w]], 0)</f>
        <v>0.24</v>
      </c>
    </row>
    <row r="61" spans="1:7" ht="20.100000000000001" customHeight="1" x14ac:dyDescent="0.2">
      <c r="D61" s="1" t="str" cm="1">
        <f t="array" ref="D61">Common_InputFunctions.Utility_DisplayArrayInTable(WasteSolid_SourceData.Waste_WasteVolumeToMassConversion_Data(), Table_SourceData_WasteSolid_VolumeToMassConversion[[#Headers],[Waste type w]], 0)</f>
        <v>Wood</v>
      </c>
      <c r="E61" s="19" cm="1">
        <f t="array" ref="E61">Common_InputFunctions.Utility_DisplayArrayInTable(WasteSolid_SourceData.Waste_WasteVolumeToMassConversion_Data(), Table_SourceData_WasteSolid_VolumeToMassConversion[[#Headers],[Waste type w]], 0)</f>
        <v>0.15</v>
      </c>
    </row>
    <row r="62" spans="1:7" ht="20.100000000000001" customHeight="1" x14ac:dyDescent="0.2">
      <c r="D62" s="1" t="str" cm="1">
        <f t="array" ref="D62">Common_InputFunctions.Utility_DisplayArrayInTable(WasteSolid_SourceData.Waste_WasteVolumeToMassConversion_Data(), Table_SourceData_WasteSolid_VolumeToMassConversion[[#Headers],[Waste type w]], 0)</f>
        <v>Textiles</v>
      </c>
      <c r="E62" s="19"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
      <c r="D63" s="1" t="str" cm="1">
        <f t="array" ref="D63">Common_InputFunctions.Utility_DisplayArrayInTable(WasteSolid_SourceData.Waste_WasteVolumeToMassConversion_Data(), Table_SourceData_WasteSolid_VolumeToMassConversion[[#Headers],[Waste type w]], 0)</f>
        <v>Sludge</v>
      </c>
      <c r="E63" s="19" cm="1">
        <f t="array" ref="E63">Common_InputFunctions.Utility_DisplayArrayInTable(WasteSolid_SourceData.Waste_WasteVolumeToMassConversion_Data(), Table_SourceData_WasteSolid_VolumeToMassConversion[[#Headers],[Waste type w]], 0)</f>
        <v>0.72</v>
      </c>
    </row>
    <row r="64" spans="1:7" ht="20.100000000000001" customHeight="1" x14ac:dyDescent="0.2">
      <c r="D64" s="1" t="str" cm="1">
        <f t="array" ref="D64">Common_InputFunctions.Utility_DisplayArrayInTable(WasteSolid_SourceData.Waste_WasteVolumeToMassConversion_Data(), Table_SourceData_WasteSolid_VolumeToMassConversion[[#Headers],[Waste type w]], 0)</f>
        <v>Rubber and leather</v>
      </c>
      <c r="E64" s="19"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19" cm="1">
        <f t="array" ref="E65">Common_InputFunctions.Utility_DisplayArrayInTable(WasteSolid_SourceData.Waste_WasteVolumeToMassConversion_Data(), Table_SourceData_WasteSolid_VolumeToMassConversion[[#Headers],[Waste type w]], 0)</f>
        <v>0.42</v>
      </c>
    </row>
    <row r="66" spans="1:5" ht="20.100000000000001" customHeight="1" x14ac:dyDescent="0.2">
      <c r="D66" s="1" t="str" cm="1">
        <f t="array" ref="D66">Common_InputFunctions.Utility_DisplayArrayInTable(WasteSolid_SourceData.Waste_WasteVolumeToMassConversion_Data(), Table_SourceData_WasteSolid_VolumeToMassConversion[[#Headers],[Waste type w]], 0)</f>
        <v>Municipal solid waste</v>
      </c>
      <c r="E66" s="19" cm="1">
        <f t="array" ref="E66">Common_InputFunctions.Utility_DisplayArrayInTable(WasteSolid_SourceData.Waste_WasteVolumeToMassConversion_Data(), Table_SourceData_WasteSolid_VolumeToMassConversion[[#Headers],[Waste type w]], 0)</f>
        <v>0.36</v>
      </c>
    </row>
    <row r="67" spans="1:5" ht="20.100000000000001" customHeight="1" x14ac:dyDescent="0.2">
      <c r="D67" s="1" t="str" cm="1">
        <f t="array" ref="D67">Common_InputFunctions.Utility_DisplayArrayInTable(WasteSolid_SourceData.Waste_WasteVolumeToMassConversion_Data(), Table_SourceData_WasteSolid_VolumeToMassConversion[[#Headers],[Waste type w]], 0)</f>
        <v>Commercial and industrial waste</v>
      </c>
      <c r="E67" s="19" cm="1">
        <f t="array" ref="E67">Common_InputFunctions.Utility_DisplayArrayInTable(WasteSolid_SourceData.Waste_WasteVolumeToMassConversion_Data(), Table_SourceData_WasteSolid_VolumeToMassConversion[[#Headers],[Waste type w]], 0)</f>
        <v>0.33</v>
      </c>
    </row>
    <row r="68" spans="1:5" ht="20.100000000000001" customHeight="1" x14ac:dyDescent="0.2">
      <c r="A68" s="79" t="str">
        <f>HYPERLINK("#A1", "▲ Back to top")</f>
        <v>▲ Back to top</v>
      </c>
      <c r="D68" s="1" t="str" cm="1">
        <f t="array" ref="D68">Common_InputFunctions.Utility_DisplayArrayInTable(WasteSolid_SourceData.Waste_WasteVolumeToMassConversion_Data(), Table_SourceData_WasteSolid_VolumeToMassConversion[[#Headers],[Waste type w]], 0)</f>
        <v>Construction and demolition waste</v>
      </c>
      <c r="E68" s="19" cm="1">
        <f t="array" ref="E68">Common_InputFunctions.Utility_DisplayArrayInTable(WasteSolid_SourceData.Waste_WasteVolumeToMassConversion_Data(), Table_SourceData_WasteSolid_VolumeToMassConversion[[#Headers],[Waste type w]], 0)</f>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zoomScaleNormal="100" workbookViewId="0">
      <pane xSplit="1" topLeftCell="B1" activePane="topRight" state="frozenSplit"/>
      <selection pane="topRight" activeCell="A56" sqref="A56"/>
    </sheetView>
  </sheetViews>
  <sheetFormatPr defaultColWidth="9.140625" defaultRowHeight="20.100000000000001" customHeight="1" x14ac:dyDescent="0.2"/>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
      <c r="A2"/>
    </row>
    <row r="3" spans="1:6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
      <c r="A4" s="5" t="str">
        <f>HYPERLINK("#'Results - Activity period'!A1", "Results - Activity period")</f>
        <v>Results - Activity period</v>
      </c>
      <c r="BM4" s="24"/>
    </row>
    <row r="5" spans="1:65" ht="20.100000000000001" customHeight="1" x14ac:dyDescent="0.2">
      <c r="A5" s="5" t="str">
        <f>HYPERLINK("#'Results - Product EI'!A1", "Results - Product Emissions Intensity")</f>
        <v>Results - Product Emissions Intensity</v>
      </c>
      <c r="D5" s="2" t="str" cm="1">
        <f t="array" ref="D5">Common_SourceData.Common_SourceData_AustralianStatesTerritories_Title()</f>
        <v>Australian states and territories</v>
      </c>
      <c r="BM5" s="24"/>
    </row>
    <row r="6" spans="1:65" ht="20.100000000000001" customHeight="1" x14ac:dyDescent="0.2">
      <c r="A6"/>
      <c r="D6" s="19" t="s">
        <v>21</v>
      </c>
      <c r="E6" s="19" t="s">
        <v>22</v>
      </c>
      <c r="F6" s="19" t="s">
        <v>23</v>
      </c>
    </row>
    <row r="7" spans="1:65" ht="20.100000000000001" customHeight="1" x14ac:dyDescent="0.2">
      <c r="A7"/>
      <c r="D7" s="19" t="str" cm="1">
        <f t="array" ref="D7">Common_InputFunctions.Utility_DisplayArrayInTable(Common_SourceData.Common_SourceData_AustralianStatesTerritories_Data(),Table_AustralianStates[[#Headers],[State/Territory]],0)</f>
        <v>New South Wales</v>
      </c>
      <c r="E7" s="19" t="str" cm="1">
        <f t="array" ref="E7">Common_InputFunctions.Utility_DisplayArrayInTable(Common_SourceData.Common_SourceData_AustralianStatesTerritories_Data(),Table_AustralianStates[[#Headers],[State/Territory]],0)</f>
        <v>New South Wales</v>
      </c>
      <c r="F7" s="19" t="str" cm="1">
        <f t="array" ref="F7">Common_InputFunctions.Utility_DisplayArrayInTable(Common_SourceData.Common_SourceData_AustralianStatesTerritories_Data(),Table_AustralianStates[[#Headers],[State/Territory]],0)</f>
        <v>NSW</v>
      </c>
    </row>
    <row r="8" spans="1:65" ht="20.100000000000001" customHeight="1" x14ac:dyDescent="0.2">
      <c r="A8" s="7" t="s">
        <v>0</v>
      </c>
      <c r="D8" s="19" t="str" cm="1">
        <f t="array" ref="D8">Common_InputFunctions.Utility_DisplayArrayInTable(Common_SourceData.Common_SourceData_AustralianStatesTerritories_Data(),Table_AustralianStates[[#Headers],[State/Territory]],0)</f>
        <v>Australian Capital Territory</v>
      </c>
      <c r="E8" s="19" t="str" cm="1">
        <f t="array" ref="E8">Common_InputFunctions.Utility_DisplayArrayInTable(Common_SourceData.Common_SourceData_AustralianStatesTerritories_Data(),Table_AustralianStates[[#Headers],[State/Territory]],0)</f>
        <v>ACT</v>
      </c>
      <c r="F8" s="19" t="str" cm="1">
        <f t="array" ref="F8">Common_InputFunctions.Utility_DisplayArrayInTable(Common_SourceData.Common_SourceData_AustralianStatesTerritories_Data(),Table_AustralianStates[[#Headers],[State/Territory]],0)</f>
        <v>ACT</v>
      </c>
    </row>
    <row r="9" spans="1:65" ht="20.100000000000001" customHeight="1" x14ac:dyDescent="0.2">
      <c r="A9" s="5" t="str">
        <f>HYPERLINK("#'Input - Enterprise'!A1", "Enterprise")</f>
        <v>Enterprise</v>
      </c>
      <c r="D9" s="19" t="str" cm="1">
        <f t="array" ref="D9">Common_InputFunctions.Utility_DisplayArrayInTable(Common_SourceData.Common_SourceData_AustralianStatesTerritories_Data(),Table_AustralianStates[[#Headers],[State/Territory]],0)</f>
        <v>Victoria</v>
      </c>
      <c r="E9" s="19" t="str" cm="1">
        <f t="array" ref="E9">Common_InputFunctions.Utility_DisplayArrayInTable(Common_SourceData.Common_SourceData_AustralianStatesTerritories_Data(),Table_AustralianStates[[#Headers],[State/Territory]],0)</f>
        <v>Victoria</v>
      </c>
      <c r="F9" s="19" t="str" cm="1">
        <f t="array" ref="F9">Common_InputFunctions.Utility_DisplayArrayInTable(Common_SourceData.Common_SourceData_AustralianStatesTerritories_Data(),Table_AustralianStates[[#Headers],[State/Territory]],0)</f>
        <v>VIC</v>
      </c>
    </row>
    <row r="10" spans="1:65" ht="20.100000000000001" customHeight="1" x14ac:dyDescent="0.2">
      <c r="A10" s="5" t="str">
        <f>HYPERLINK("#'Input - Site'!A1", "Site")</f>
        <v>Site</v>
      </c>
      <c r="D10" s="19" t="str" cm="1">
        <f t="array" ref="D10">Common_InputFunctions.Utility_DisplayArrayInTable(Common_SourceData.Common_SourceData_AustralianStatesTerritories_Data(),Table_AustralianStates[[#Headers],[State/Territory]],0)</f>
        <v>Queensland</v>
      </c>
      <c r="E10" s="19" t="str" cm="1">
        <f t="array" ref="E10">Common_InputFunctions.Utility_DisplayArrayInTable(Common_SourceData.Common_SourceData_AustralianStatesTerritories_Data(),Table_AustralianStates[[#Headers],[State/Territory]],0)</f>
        <v>Queensland</v>
      </c>
      <c r="F10" s="19" t="str" cm="1">
        <f t="array" ref="F10">Common_InputFunctions.Utility_DisplayArrayInTable(Common_SourceData.Common_SourceData_AustralianStatesTerritories_Data(),Table_AustralianStates[[#Headers],[State/Territory]],0)</f>
        <v>QLD</v>
      </c>
    </row>
    <row r="11" spans="1:65" ht="20.100000000000001" customHeight="1" x14ac:dyDescent="0.2">
      <c r="A11" s="5" t="str">
        <f>HYPERLINK("#'Input - Poultry'!A1", "Poultry")</f>
        <v>Poultry</v>
      </c>
      <c r="D11" s="19" t="str" cm="1">
        <f t="array" ref="D11">Common_InputFunctions.Utility_DisplayArrayInTable(Common_SourceData.Common_SourceData_AustralianStatesTerritories_Data(),Table_AustralianStates[[#Headers],[State/Territory]],0)</f>
        <v>South Australia</v>
      </c>
      <c r="E11" s="19" t="str" cm="1">
        <f t="array" ref="E11">Common_InputFunctions.Utility_DisplayArrayInTable(Common_SourceData.Common_SourceData_AustralianStatesTerritories_Data(),Table_AustralianStates[[#Headers],[State/Territory]],0)</f>
        <v>South Australia</v>
      </c>
      <c r="F11" s="19" t="str" cm="1">
        <f t="array" ref="F11">Common_InputFunctions.Utility_DisplayArrayInTable(Common_SourceData.Common_SourceData_AustralianStatesTerritories_Data(),Table_AustralianStates[[#Headers],[State/Territory]],0)</f>
        <v>SA</v>
      </c>
      <c r="BM11" s="24"/>
    </row>
    <row r="12" spans="1:65" ht="20.100000000000001" customHeight="1" x14ac:dyDescent="0.2">
      <c r="A12" s="5" t="str">
        <f>HYPERLINK("#'Input - Livestock sales'!A1", "Livestock sales")</f>
        <v>Livestock sales</v>
      </c>
      <c r="D12" s="19" t="str" cm="1">
        <f t="array" ref="D12">Common_InputFunctions.Utility_DisplayArrayInTable(Common_SourceData.Common_SourceData_AustralianStatesTerritories_Data(),Table_AustralianStates[[#Headers],[State/Territory]],0)</f>
        <v>Western Australia</v>
      </c>
      <c r="E12" s="19" t="str" cm="1">
        <f t="array" ref="E12">Common_InputFunctions.Utility_DisplayArrayInTable(Common_SourceData.Common_SourceData_AustralianStatesTerritories_Data(),Table_AustralianStates[[#Headers],[State/Territory]],0)</f>
        <v>Western Australia</v>
      </c>
      <c r="F12" s="19" t="str" cm="1">
        <f t="array" ref="F12">Common_InputFunctions.Utility_DisplayArrayInTable(Common_SourceData.Common_SourceData_AustralianStatesTerritories_Data(),Table_AustralianStates[[#Headers],[State/Territory]],0)</f>
        <v>WA</v>
      </c>
      <c r="BM12" s="24"/>
    </row>
    <row r="13" spans="1:65" ht="20.100000000000001" customHeight="1" x14ac:dyDescent="0.2">
      <c r="A13" s="5" t="str">
        <f>HYPERLINK("#'Input - Poultry purchases'!A1", "Poultry purchases")</f>
        <v>Poultry purchases</v>
      </c>
      <c r="D13" s="19" t="str" cm="1">
        <f t="array" ref="D13">Common_InputFunctions.Utility_DisplayArrayInTable(Common_SourceData.Common_SourceData_AustralianStatesTerritories_Data(),Table_AustralianStates[[#Headers],[State/Territory]],0)</f>
        <v>Tasmania</v>
      </c>
      <c r="E13" s="19" t="str" cm="1">
        <f t="array" ref="E13">Common_InputFunctions.Utility_DisplayArrayInTable(Common_SourceData.Common_SourceData_AustralianStatesTerritories_Data(),Table_AustralianStates[[#Headers],[State/Territory]],0)</f>
        <v>Tasmania</v>
      </c>
      <c r="F13" s="19" t="str" cm="1">
        <f t="array" ref="F13">Common_InputFunctions.Utility_DisplayArrayInTable(Common_SourceData.Common_SourceData_AustralianStatesTerritories_Data(),Table_AustralianStates[[#Headers],[State/Territory]],0)</f>
        <v>TAS</v>
      </c>
    </row>
    <row r="14" spans="1:65" ht="20.100000000000001" customHeight="1" x14ac:dyDescent="0.2">
      <c r="A14" s="5" t="str">
        <f>HYPERLINK("#'Input - Fuel'!A1", "Fuel")</f>
        <v>Fuel</v>
      </c>
      <c r="D14" s="19" t="str" cm="1">
        <f t="array" ref="D14">Common_InputFunctions.Utility_DisplayArrayInTable(Common_SourceData.Common_SourceData_AustralianStatesTerritories_Data(),Table_AustralianStates[[#Headers],[State/Territory]],0)</f>
        <v>Northern Territory</v>
      </c>
      <c r="E14" s="19" t="str" cm="1">
        <f t="array" ref="E14">Common_InputFunctions.Utility_DisplayArrayInTable(Common_SourceData.Common_SourceData_AustralianStatesTerritories_Data(),Table_AustralianStates[[#Headers],[State/Territory]],0)</f>
        <v>Northern Territory</v>
      </c>
      <c r="F14" s="19" t="str" cm="1">
        <f t="array" ref="F14">Common_InputFunctions.Utility_DisplayArrayInTable(Common_SourceData.Common_SourceData_AustralianStatesTerritories_Data(),Table_AustralianStates[[#Headers],[State/Territory]],0)</f>
        <v>NT</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c r="D18" s="2" t="str" cm="1">
        <f t="array" ref="D18">Common_SourceData.Common_SourceData_WASA4Areas_Title()</f>
        <v>ABS Statistcal Areas Level 4 - Western Australia</v>
      </c>
    </row>
    <row r="19" spans="1:4" ht="20.100000000000001" customHeight="1" x14ac:dyDescent="0.2">
      <c r="A19" s="5" t="str">
        <f>HYPERLINK("#'Input - Solid waste'!A1", "Solid waste")</f>
        <v>Solid waste</v>
      </c>
      <c r="D19" s="17" t="str" cm="1">
        <f t="array" ref="D19">Common_SourceData.Common_SourceData_WASA4Areas_Source()</f>
        <v>Australian Bureau of Statistics (ABS) - Statistical Areas Level 2 - 2021 - Shapefile</v>
      </c>
    </row>
    <row r="20" spans="1:4" ht="20.100000000000001" customHeight="1" x14ac:dyDescent="0.2">
      <c r="A20" s="5" t="str">
        <f>HYPERLINK("#'Input - Manure sent off-site'!A1", "Manure sent off-site")</f>
        <v>Manure sent off-site</v>
      </c>
      <c r="D20" s="19" t="s">
        <v>24</v>
      </c>
    </row>
    <row r="21" spans="1:4" ht="20.100000000000001" customHeight="1" x14ac:dyDescent="0.2">
      <c r="A21" s="5" t="str">
        <f>HYPERLINK("#'Input - Data quality'!A1", "Data quality")</f>
        <v>Data quality</v>
      </c>
      <c r="D21" s="19" t="str" cm="1">
        <f t="array" ref="D21">Common_InputFunctions.Utility_DisplayArrayInTable(Common_SourceData.Common_SourceData_WASA4Areas_Data(), Table_WASA4Areas[[#Headers],[SA 4 Name]], 0)</f>
        <v>Bunbury</v>
      </c>
    </row>
    <row r="22" spans="1:4" ht="20.100000000000001" customHeight="1" x14ac:dyDescent="0.2">
      <c r="A22" s="5" t="str">
        <f>HYPERLINK("#'Input - Fert Prod System'!A1", "Fert Prod System")</f>
        <v>Fert Prod System</v>
      </c>
      <c r="D22" s="19" t="str" cm="1">
        <f t="array" ref="D22">Common_InputFunctions.Utility_DisplayArrayInTable(Common_SourceData.Common_SourceData_WASA4Areas_Data(), Table_WASA4Areas[[#Headers],[SA 4 Name]], 0)</f>
        <v>Mandurah</v>
      </c>
    </row>
    <row r="23" spans="1:4" ht="20.100000000000001" customHeight="1" x14ac:dyDescent="0.2">
      <c r="A23" s="5" t="str">
        <f>HYPERLINK("#'Input - Fertiliser'!A1", "Fertiliser")</f>
        <v>Fertiliser</v>
      </c>
      <c r="D23" s="19" t="str" cm="1">
        <f t="array" ref="D23">Common_InputFunctions.Utility_DisplayArrayInTable(Common_SourceData.Common_SourceData_WASA4Areas_Data(), Table_WASA4Areas[[#Headers],[SA 4 Name]], 0)</f>
        <v>Perth - Inner</v>
      </c>
    </row>
    <row r="24" spans="1:4" ht="20.100000000000001" customHeight="1" x14ac:dyDescent="0.2">
      <c r="A24"/>
      <c r="D24" s="19" t="str" cm="1">
        <f t="array" ref="D24">Common_InputFunctions.Utility_DisplayArrayInTable(Common_SourceData.Common_SourceData_WASA4Areas_Data(), Table_WASA4Areas[[#Headers],[SA 4 Name]], 0)</f>
        <v>Perth - North East</v>
      </c>
    </row>
    <row r="25" spans="1:4" ht="20.100000000000001" customHeight="1" x14ac:dyDescent="0.2">
      <c r="A25"/>
      <c r="D25" s="19" t="str" cm="1">
        <f t="array" ref="D25">Common_InputFunctions.Utility_DisplayArrayInTable(Common_SourceData.Common_SourceData_WASA4Areas_Data(), Table_WASA4Areas[[#Headers],[SA 4 Name]], 0)</f>
        <v>Perth - North West</v>
      </c>
    </row>
    <row r="26" spans="1:4" ht="20.100000000000001" customHeight="1" x14ac:dyDescent="0.2">
      <c r="A26" s="6" t="s">
        <v>2</v>
      </c>
      <c r="D26" s="19" t="str" cm="1">
        <f t="array" ref="D26">Common_InputFunctions.Utility_DisplayArrayInTable(Common_SourceData.Common_SourceData_WASA4Areas_Data(), Table_WASA4Areas[[#Headers],[SA 4 Name]], 0)</f>
        <v>Perth - South East</v>
      </c>
    </row>
    <row r="27" spans="1:4" ht="20.100000000000001" customHeight="1" x14ac:dyDescent="0.2">
      <c r="A27" s="5" t="str">
        <f>HYPERLINK("#'4.6.1.1-2 Methane'!A1", "4.6.1.1-2 Manure Methane")</f>
        <v>4.6.1.1-2 Manure Methane</v>
      </c>
      <c r="D27" s="19" t="str" cm="1">
        <f t="array" ref="D27">Common_InputFunctions.Utility_DisplayArrayInTable(Common_SourceData.Common_SourceData_WASA4Areas_Data(), Table_WASA4Areas[[#Headers],[SA 4 Name]], 0)</f>
        <v>Perth - South West</v>
      </c>
    </row>
    <row r="28" spans="1:4" ht="20.100000000000001" customHeight="1" x14ac:dyDescent="0.2">
      <c r="A28" s="5" t="str">
        <f>HYPERLINK("#'4.6.1.3-4 Direct N20'!A1", "4.6.1.3-4 Manure Direct N2O")</f>
        <v>4.6.1.3-4 Manure Direct N2O</v>
      </c>
      <c r="D28" s="19" t="str" cm="1">
        <f t="array" ref="D28">Common_InputFunctions.Utility_DisplayArrayInTable(Common_SourceData.Common_SourceData_WASA4Areas_Data(), Table_WASA4Areas[[#Headers],[SA 4 Name]], 0)</f>
        <v>Western Australia - Wheat Belt</v>
      </c>
    </row>
    <row r="29" spans="1:4" ht="20.100000000000001" customHeight="1" x14ac:dyDescent="0.2">
      <c r="A29" s="5" t="str">
        <f>HYPERLINK("#'4.6.1.5-6 Atmos Dep'!A1", "4.6.1.5-6 Manure Atmos Dep")</f>
        <v>4.6.1.5-6 Manure Atmos Dep</v>
      </c>
      <c r="D29" s="19" t="str" cm="1">
        <f t="array" ref="D29">Common_InputFunctions.Utility_DisplayArrayInTable(Common_SourceData.Common_SourceData_WASA4Areas_Data(), Table_WASA4Areas[[#Headers],[SA 4 Name]], 0)</f>
        <v>Western Australia - Outback (North)</v>
      </c>
    </row>
    <row r="30" spans="1:4" ht="20.100000000000001" customHeight="1" x14ac:dyDescent="0.2">
      <c r="A30" s="5" t="str">
        <f>HYPERLINK("#'4.6.1.7-8 Leaching and runoff'!A1", "4.6.1.7-8 Manure Leaching and runoff")</f>
        <v>4.6.1.7-8 Manure Leaching and runoff</v>
      </c>
      <c r="D30" s="19" t="str" cm="1">
        <f t="array" ref="D30">Common_InputFunctions.Utility_DisplayArrayInTable(Common_SourceData.Common_SourceData_WASA4Areas_Data(), Table_WASA4Areas[[#Headers],[SA 4 Name]], 0)</f>
        <v>Western Australia - Outback (South)</v>
      </c>
    </row>
    <row r="31" spans="1:4" ht="20.100000000000001" customHeight="1" x14ac:dyDescent="0.2">
      <c r="A31" s="5" t="str">
        <f>HYPERLINK("#'4.6.1.9 Manure applied to soils'!A1", "4.6.1.9 Manure applied to soils")</f>
        <v>4.6.1.9 Manure applied to soils</v>
      </c>
    </row>
    <row r="32" spans="1:4" ht="20.100000000000001" customHeight="1" x14ac:dyDescent="0.2">
      <c r="A32" s="5" t="str">
        <f>HYPERLINK("#'4.6.1.10-11 Soil direct N2O'!A1", "4.6.1.10-11 Soil direct N2O")</f>
        <v>4.6.1.10-11 Soil direct N2O</v>
      </c>
    </row>
    <row r="33" spans="1:8" ht="20.100000000000001" customHeight="1" x14ac:dyDescent="0.2">
      <c r="A33" s="5" t="str">
        <f>HYPERLINK("#'4.6.1.12-13 Soil atmos dep'!A1", "4.6.1.12-13 Soil atmos dep")</f>
        <v>4.6.1.12-13 Soil atmos dep</v>
      </c>
    </row>
    <row r="34" spans="1:8" ht="20.100000000000001" customHeight="1" x14ac:dyDescent="0.2">
      <c r="A34" s="5" t="str">
        <f>HYPERLINK("#'4.6.1.14-15 Soil leach runoff'!A1", "4.6.1.14-15 Soil leach runoff")</f>
        <v>4.6.1.14-15 Soil leach runoff</v>
      </c>
      <c r="D34" s="2" t="str" cm="1">
        <f t="array" ref="D34">Common_SourceData.Common_SourceData_GWP_Title()</f>
        <v>Global warming potential for greenhouse gases</v>
      </c>
    </row>
    <row r="35" spans="1:8" ht="20.100000000000001" customHeight="1" x14ac:dyDescent="0.2">
      <c r="A35" s="5" t="str">
        <f>HYPERLINK("#'8.1.1.1-2 Transport fuel'!A1", "8.1.1.1-2 Transport fuel")</f>
        <v>8.1.1.1-2 Transport fuel</v>
      </c>
      <c r="D35" s="17" t="str" cm="1">
        <f t="array" ref="D35">Common_SourceData.Common_SourceData_GWP_Source()</f>
        <v>XXXXXXX</v>
      </c>
    </row>
    <row r="36" spans="1:8" ht="20.100000000000001" customHeight="1" x14ac:dyDescent="0.2">
      <c r="A36" s="5" t="str">
        <f>HYPERLINK("#'8.2.1.1-2 Stationary fuel'!A1", "8.2.1.1-2 Stationary fuel")</f>
        <v>8.2.1.1-2 Stationary fuel</v>
      </c>
      <c r="D36" s="19" t="s">
        <v>25</v>
      </c>
      <c r="E36" s="19" t="s">
        <v>26</v>
      </c>
    </row>
    <row r="37" spans="1:8" ht="20.100000000000001" customHeight="1" x14ac:dyDescent="0.2">
      <c r="A37" s="5" t="str">
        <f>HYPERLINK("#'10.1.1-2 Solid waste treatment'!A1", "10.1.1.1-2 Solid waste")</f>
        <v>10.1.1.1-2 Solid waste</v>
      </c>
      <c r="D37" s="19" t="str" cm="1">
        <f t="array" ref="D37">Common_InputFunctions.Utility_DisplayArrayInTable(Common_SourceData.Common_SourceData_GWP_Data(), Table_GWPData[[#Headers],[Gas]], 0)</f>
        <v>CO2</v>
      </c>
      <c r="E37" s="19" cm="1">
        <f t="array" ref="E37">Common_InputFunctions.Utility_DisplayArrayInTable(Common_SourceData.Common_SourceData_GWP_Data(), Table_GWPData[[#Headers],[Gas]], 0)</f>
        <v>1</v>
      </c>
    </row>
    <row r="38" spans="1:8" ht="20.100000000000001" customHeight="1" x14ac:dyDescent="0.2">
      <c r="A38" s="5" t="str">
        <f>HYPERLINK("#'14.1.1-2 Purchased electricity'!A1", "14.1.1-2 Purchased electricity")</f>
        <v>14.1.1-2 Purchased electricity</v>
      </c>
      <c r="D38" s="19" t="str" cm="1">
        <f t="array" ref="D38">Common_InputFunctions.Utility_DisplayArrayInTable(Common_SourceData.Common_SourceData_GWP_Data(), Table_GWPData[[#Headers],[Gas]], 0)</f>
        <v>CH4</v>
      </c>
      <c r="E38" s="19" cm="1">
        <f t="array" ref="E38">Common_InputFunctions.Utility_DisplayArrayInTable(Common_SourceData.Common_SourceData_GWP_Data(), Table_GWPData[[#Headers],[Gas]], 0)</f>
        <v>28</v>
      </c>
    </row>
    <row r="39" spans="1:8" ht="20.100000000000001" customHeight="1" x14ac:dyDescent="0.2">
      <c r="A39" s="5" t="str">
        <f>HYPERLINK("#'15 Scope 3'!A1", "15 Scope 3")</f>
        <v>15 Scope 3</v>
      </c>
      <c r="D39" s="19" t="str" cm="1">
        <f t="array" ref="D39">Common_InputFunctions.Utility_DisplayArrayInTable(Common_SourceData.Common_SourceData_GWP_Data(), Table_GWPData[[#Headers],[Gas]], 0)</f>
        <v>N2O</v>
      </c>
      <c r="E39" s="19" cm="1">
        <f t="array" ref="E39">Common_InputFunctions.Utility_DisplayArrayInTable(Common_SourceData.Common_SourceData_GWP_Data(), Table_GWPData[[#Headers],[Gas]], 0)</f>
        <v>265</v>
      </c>
    </row>
    <row r="40" spans="1:8" ht="20.100000000000001" customHeight="1" x14ac:dyDescent="0.2">
      <c r="A40" s="5" t="str">
        <f>HYPERLINK("#'Calcs - Manure sent off-site'!A1", "Calcs - Manure sent off-site")</f>
        <v>Calcs - Manure sent off-site</v>
      </c>
      <c r="D40" s="19" t="str" cm="1">
        <f t="array" ref="D40">Common_InputFunctions.Utility_DisplayArrayInTable(Common_SourceData.Common_SourceData_GWP_Data(), Table_GWPData[[#Headers],[Gas]], 0)</f>
        <v>CF4</v>
      </c>
      <c r="E40" s="19" cm="1">
        <f t="array" ref="E40">Common_InputFunctions.Utility_DisplayArrayInTable(Common_SourceData.Common_SourceData_GWP_Data(), Table_GWPData[[#Headers],[Gas]], 0)</f>
        <v>6630</v>
      </c>
    </row>
    <row r="41" spans="1:8" ht="20.100000000000001" customHeight="1" x14ac:dyDescent="0.2">
      <c r="A41" s="5" t="str">
        <f>HYPERLINK("#'5.1.1.1-2 Inorganic fert N2O'!A1", "5.1.1.1-2 Inorganic fert N2O")</f>
        <v>5.1.1.1-2 Inorganic fert N2O</v>
      </c>
      <c r="D41" s="19" t="str" cm="1">
        <f t="array" ref="D41">Common_InputFunctions.Utility_DisplayArrayInTable(Common_SourceData.Common_SourceData_GWP_Data(), Table_GWPData[[#Headers],[Gas]], 0)</f>
        <v>C2F6</v>
      </c>
      <c r="E41" s="19" cm="1">
        <f t="array" ref="E41">Common_InputFunctions.Utility_DisplayArrayInTable(Common_SourceData.Common_SourceData_GWP_Data(), Table_GWPData[[#Headers],[Gas]], 0)</f>
        <v>12200</v>
      </c>
    </row>
    <row r="42" spans="1:8" ht="20.100000000000001" customHeight="1" x14ac:dyDescent="0.2">
      <c r="A42" s="5" t="str">
        <f>HYPERLINK("#'5.1.1.3-4 Inorganic fert CO2'!A1", "5.1.1.3-4 Inorganic fert CO2")</f>
        <v>5.1.1.3-4 Inorganic fert CO2</v>
      </c>
      <c r="D42" s="19" t="str" cm="1">
        <f t="array" ref="D42">Common_InputFunctions.Utility_DisplayArrayInTable(Common_SourceData.Common_SourceData_GWP_Data(), Table_GWPData[[#Headers],[Gas]], 0)</f>
        <v>SF6</v>
      </c>
      <c r="E42" s="19" cm="1">
        <f t="array" ref="E42">Common_InputFunctions.Utility_DisplayArrayInTable(Common_SourceData.Common_SourceData_GWP_Data(), Table_GWPData[[#Headers],[Gas]], 0)</f>
        <v>22800</v>
      </c>
    </row>
    <row r="43" spans="1:8" ht="20.100000000000001" customHeight="1" x14ac:dyDescent="0.2">
      <c r="A43" s="5" t="str">
        <f>HYPERLINK("#'5.2.1.1-2 Organic Fert N2O'!A1", "5.2.1.1-2 Organic Fert N2O")</f>
        <v>5.2.1.1-2 Organic Fert N2O</v>
      </c>
      <c r="D43" s="19" t="str" cm="1">
        <f t="array" ref="D43">Common_InputFunctions.Utility_DisplayArrayInTable(Common_SourceData.Common_SourceData_GWP_Data(), Table_GWPData[[#Headers],[Gas]], 0)</f>
        <v>NF3</v>
      </c>
      <c r="E43" s="19" cm="1">
        <f t="array" ref="E43">Common_InputFunctions.Utility_DisplayArrayInTable(Common_SourceData.Common_SourceData_GWP_Data(), Table_GWPData[[#Headers],[Gas]], 0)</f>
        <v>17200</v>
      </c>
    </row>
    <row r="44" spans="1:8" ht="20.100000000000001" customHeight="1" x14ac:dyDescent="0.2">
      <c r="A44" s="5" t="str">
        <f>HYPERLINK("#'5.3.1.1-2 Lime CO2'!A1", "5.3.1.1-2 Lime CO2")</f>
        <v>5.3.1.1-2 Lime CO2</v>
      </c>
    </row>
    <row r="45" spans="1:8" ht="20.100000000000001" customHeight="1" x14ac:dyDescent="0.2">
      <c r="A45" s="5" t="str">
        <f>HYPERLINK("#'5.4.1.1-4 Atmos deposition'!A1", "5.4.1.1-4 Atmos deposition")</f>
        <v>5.4.1.1-4 Atmos deposition</v>
      </c>
      <c r="D45" s="2" t="str" cm="1">
        <f t="array" ref="D45">Common_SourceData.Common_SourceData_ConvertGasElementalToMolecular_Title()</f>
        <v>Factor to convert elemental mass of gas to molecular mass</v>
      </c>
    </row>
    <row r="46" spans="1:8" ht="20.100000000000001" customHeight="1" x14ac:dyDescent="0.2">
      <c r="A46" s="5" t="str">
        <f>HYPERLINK("#'5.5.1.1-2 Leaching and runoff'!A1", "5.5.1.1-2 Leaching and runoff")</f>
        <v>5.5.1.1-2 Leaching and runoff</v>
      </c>
      <c r="D46" s="17" t="str" cm="1">
        <f t="array" ref="D46">Common_SourceData.Common_SourceData_ConvertGasElementalToMolecular_Source()</f>
        <v>XXXXXXX</v>
      </c>
    </row>
    <row r="47" spans="1:8" ht="20.100000000000001" customHeight="1" x14ac:dyDescent="0.2">
      <c r="A47"/>
      <c r="D47" s="19" t="s">
        <v>25</v>
      </c>
      <c r="E47" s="19" t="s">
        <v>27</v>
      </c>
      <c r="F47" s="19" t="s">
        <v>28</v>
      </c>
      <c r="G47" s="19" t="s">
        <v>29</v>
      </c>
      <c r="H47" s="19" t="s">
        <v>30</v>
      </c>
    </row>
    <row r="48" spans="1:8" ht="20.100000000000001" customHeight="1" x14ac:dyDescent="0.2">
      <c r="A48"/>
      <c r="D48" s="19" t="str" cm="1">
        <f t="array" ref="D48">Common_InputFunctions.Utility_DisplayArrayInTable(Common_SourceData.Common_SourceData_ConvertGasElementalToMolecular_Data(),Table_GasToMolecularConversionFactor[[#Headers],[Gas]], 0)</f>
        <v>CO2</v>
      </c>
      <c r="E48" s="19" t="str" cm="1">
        <f t="array" ref="E48">Common_InputFunctions.Utility_DisplayArrayInTable(Common_SourceData.Common_SourceData_ConvertGasElementalToMolecular_Data(),Table_GasToMolecularConversionFactor[[#Headers],[Gas]], 0)</f>
        <v>44/12</v>
      </c>
      <c r="F48" s="19" cm="1">
        <f t="array" ref="F48">Common_InputFunctions.Utility_DisplayArrayInTable(Common_SourceData.Common_SourceData_ConvertGasElementalToMolecular_Data(),Table_GasToMolecularConversionFactor[[#Headers],[Gas]], 0)</f>
        <v>44</v>
      </c>
      <c r="G48" s="19" cm="1">
        <f t="array" ref="G48">Common_InputFunctions.Utility_DisplayArrayInTable(Common_SourceData.Common_SourceData_ConvertGasElementalToMolecular_Data(),Table_GasToMolecularConversionFactor[[#Headers],[Gas]], 0)</f>
        <v>12</v>
      </c>
      <c r="H48" s="19">
        <f>Table_GasToMolecularConversionFactor[[#This Row],[Conversion factor 1]]/Table_GasToMolecularConversionFactor[[#This Row],[Conversion factor 2]]</f>
        <v>3.6666666666666665</v>
      </c>
    </row>
    <row r="49" spans="1:8" ht="20.100000000000001" customHeight="1" x14ac:dyDescent="0.2">
      <c r="A49" s="80" t="s">
        <v>1</v>
      </c>
      <c r="D49" s="19" t="str" cm="1">
        <f t="array" ref="D49">Common_InputFunctions.Utility_DisplayArrayInTable(Common_SourceData.Common_SourceData_ConvertGasElementalToMolecular_Data(),Table_GasToMolecularConversionFactor[[#Headers],[Gas]], 0)</f>
        <v>CH4</v>
      </c>
      <c r="E49" s="19" t="str" cm="1">
        <f t="array" ref="E49">Common_InputFunctions.Utility_DisplayArrayInTable(Common_SourceData.Common_SourceData_ConvertGasElementalToMolecular_Data(),Table_GasToMolecularConversionFactor[[#Headers],[Gas]], 0)</f>
        <v>16/12</v>
      </c>
      <c r="F49" s="19" cm="1">
        <f t="array" ref="F49">Common_InputFunctions.Utility_DisplayArrayInTable(Common_SourceData.Common_SourceData_ConvertGasElementalToMolecular_Data(),Table_GasToMolecularConversionFactor[[#Headers],[Gas]], 0)</f>
        <v>16</v>
      </c>
      <c r="G49" s="19" cm="1">
        <f t="array" ref="G49">Common_InputFunctions.Utility_DisplayArrayInTable(Common_SourceData.Common_SourceData_ConvertGasElementalToMolecular_Data(),Table_GasToMolecularConversionFactor[[#Headers],[Gas]], 0)</f>
        <v>12</v>
      </c>
      <c r="H49" s="19">
        <f>Table_GasToMolecularConversionFactor[[#This Row],[Conversion factor 1]]/Table_GasToMolecularConversionFactor[[#This Row],[Conversion factor 2]]</f>
        <v>1.3333333333333333</v>
      </c>
    </row>
    <row r="50" spans="1:8" ht="20.100000000000001" customHeight="1" x14ac:dyDescent="0.2">
      <c r="A50" s="5" t="str">
        <f>HYPERLINK("#'Constants - Poultry'!A1", "Constants - Poultry")</f>
        <v>Constants - Poultry</v>
      </c>
      <c r="D50" s="19" t="str" cm="1">
        <f t="array" ref="D50">Common_InputFunctions.Utility_DisplayArrayInTable(Common_SourceData.Common_SourceData_ConvertGasElementalToMolecular_Data(),Table_GasToMolecularConversionFactor[[#Headers],[Gas]], 0)</f>
        <v>N2O</v>
      </c>
      <c r="E50" s="19" t="str" cm="1">
        <f t="array" ref="E50">Common_InputFunctions.Utility_DisplayArrayInTable(Common_SourceData.Common_SourceData_ConvertGasElementalToMolecular_Data(),Table_GasToMolecularConversionFactor[[#Headers],[Gas]], 0)</f>
        <v>44/28</v>
      </c>
      <c r="F50" s="19" cm="1">
        <f t="array" ref="F50">Common_InputFunctions.Utility_DisplayArrayInTable(Common_SourceData.Common_SourceData_ConvertGasElementalToMolecular_Data(),Table_GasToMolecularConversionFactor[[#Headers],[Gas]], 0)</f>
        <v>44</v>
      </c>
      <c r="G50" s="19" cm="1">
        <f t="array" ref="G50">Common_InputFunctions.Utility_DisplayArrayInTable(Common_SourceData.Common_SourceData_ConvertGasElementalToMolecular_Data(),Table_GasToMolecularConversionFactor[[#Headers],[Gas]], 0)</f>
        <v>28</v>
      </c>
      <c r="H50" s="19">
        <f>Table_GasToMolecularConversionFactor[[#This Row],[Conversion factor 1]]/Table_GasToMolecularConversionFactor[[#This Row],[Conversion factor 2]]</f>
        <v>1.5714285714285714</v>
      </c>
    </row>
    <row r="51" spans="1:8" ht="20.100000000000001" customHeight="1" x14ac:dyDescent="0.2">
      <c r="A51" s="5" t="str">
        <f>HYPERLINK("#'Constants - Common livestock'!A1", "Constants - Common Livestock")</f>
        <v>Constants - Common Livestock</v>
      </c>
      <c r="D51" s="19" t="str" cm="1">
        <f t="array" ref="D51">Common_InputFunctions.Utility_DisplayArrayInTable(Common_SourceData.Common_SourceData_ConvertGasElementalToMolecular_Data(),Table_GasToMolecularConversionFactor[[#Headers],[Gas]], 0)</f>
        <v>Nox</v>
      </c>
      <c r="E51" s="19" t="str" cm="1">
        <f t="array" ref="E51">Common_InputFunctions.Utility_DisplayArrayInTable(Common_SourceData.Common_SourceData_ConvertGasElementalToMolecular_Data(),Table_GasToMolecularConversionFactor[[#Headers],[Gas]], 0)</f>
        <v>46/14</v>
      </c>
      <c r="F51" s="19" cm="1">
        <f t="array" ref="F51">Common_InputFunctions.Utility_DisplayArrayInTable(Common_SourceData.Common_SourceData_ConvertGasElementalToMolecular_Data(),Table_GasToMolecularConversionFactor[[#Headers],[Gas]], 0)</f>
        <v>46</v>
      </c>
      <c r="G51" s="19" cm="1">
        <f t="array" ref="G51">Common_InputFunctions.Utility_DisplayArrayInTable(Common_SourceData.Common_SourceData_ConvertGasElementalToMolecular_Data(),Table_GasToMolecularConversionFactor[[#Headers],[Gas]], 0)</f>
        <v>14</v>
      </c>
      <c r="H51" s="19">
        <f>Table_GasToMolecularConversionFactor[[#This Row],[Conversion factor 1]]/Table_GasToMolecularConversionFactor[[#This Row],[Conversion factor 2]]</f>
        <v>3.2857142857142856</v>
      </c>
    </row>
    <row r="52" spans="1:8" ht="20.100000000000001" customHeight="1" x14ac:dyDescent="0.2">
      <c r="A52" s="5" t="str">
        <f>HYPERLINK("#'Constants - Electricity'!A1", "Constants - Electricity")</f>
        <v>Constants - Electricity</v>
      </c>
      <c r="D52" s="19" t="str" cm="1">
        <f t="array" ref="D52">Common_InputFunctions.Utility_DisplayArrayInTable(Common_SourceData.Common_SourceData_ConvertGasElementalToMolecular_Data(),Table_GasToMolecularConversionFactor[[#Headers],[Gas]], 0)</f>
        <v>CO</v>
      </c>
      <c r="E52" s="19" t="str" cm="1">
        <f t="array" ref="E52">Common_InputFunctions.Utility_DisplayArrayInTable(Common_SourceData.Common_SourceData_ConvertGasElementalToMolecular_Data(),Table_GasToMolecularConversionFactor[[#Headers],[Gas]], 0)</f>
        <v>28/12</v>
      </c>
      <c r="F52" s="19" cm="1">
        <f t="array" ref="F52">Common_InputFunctions.Utility_DisplayArrayInTable(Common_SourceData.Common_SourceData_ConvertGasElementalToMolecular_Data(),Table_GasToMolecularConversionFactor[[#Headers],[Gas]], 0)</f>
        <v>28</v>
      </c>
      <c r="G52" s="19" cm="1">
        <f t="array" ref="G52">Common_InputFunctions.Utility_DisplayArrayInTable(Common_SourceData.Common_SourceData_ConvertGasElementalToMolecular_Data(),Table_GasToMolecularConversionFactor[[#Headers],[Gas]], 0)</f>
        <v>12</v>
      </c>
      <c r="H52" s="19">
        <f>Table_GasToMolecularConversionFactor[[#This Row],[Conversion factor 1]]/Table_GasToMolecularConversionFactor[[#This Row],[Conversion factor 2]]</f>
        <v>2.3333333333333335</v>
      </c>
    </row>
    <row r="53" spans="1:8" ht="20.100000000000001" customHeight="1" x14ac:dyDescent="0.2">
      <c r="A53" s="5" t="str">
        <f>HYPERLINK("#'Constants - Fertiliser'!A1", "Constants - Fertiliser")</f>
        <v>Constants - Fertiliser</v>
      </c>
      <c r="D53" s="19" t="str" cm="1">
        <f t="array" ref="D53">Common_InputFunctions.Utility_DisplayArrayInTable(Common_SourceData.Common_SourceData_ConvertGasElementalToMolecular_Data(),Table_GasToMolecularConversionFactor[[#Headers],[Gas]], 0)</f>
        <v>CO2 Lime</v>
      </c>
      <c r="E53" s="19" t="str" cm="1">
        <f t="array" ref="E53">Common_InputFunctions.Utility_DisplayArrayInTable(Common_SourceData.Common_SourceData_ConvertGasElementalToMolecular_Data(),Table_GasToMolecularConversionFactor[[#Headers],[Gas]], 0)</f>
        <v>44/12</v>
      </c>
      <c r="F53" s="19" cm="1">
        <f t="array" ref="F53">Common_InputFunctions.Utility_DisplayArrayInTable(Common_SourceData.Common_SourceData_ConvertGasElementalToMolecular_Data(),Table_GasToMolecularConversionFactor[[#Headers],[Gas]], 0)</f>
        <v>44</v>
      </c>
      <c r="G53" s="19" cm="1">
        <f t="array" ref="G53">Common_InputFunctions.Utility_DisplayArrayInTable(Common_SourceData.Common_SourceData_ConvertGasElementalToMolecular_Data(),Table_GasToMolecularConversionFactor[[#Headers],[Gas]], 0)</f>
        <v>12</v>
      </c>
      <c r="H53" s="19">
        <f>Table_GasToMolecularConversionFactor[[#This Row],[Conversion factor 1]]/Table_GasToMolecularConversionFactor[[#This Row],[Conversion factor 2]]</f>
        <v>3.6666666666666665</v>
      </c>
    </row>
    <row r="54" spans="1:8" ht="20.100000000000001" customHeight="1" x14ac:dyDescent="0.2">
      <c r="A54" s="5" t="str">
        <f>HYPERLINK("#'Constants - Fuel'!A1", "Constants - Fuel")</f>
        <v>Constants - Fuel</v>
      </c>
      <c r="D54" s="19" t="str" cm="1">
        <f t="array" ref="D54">Common_InputFunctions.Utility_DisplayArrayInTable(Common_SourceData.Common_SourceData_ConvertGasElementalToMolecular_Data(),Table_GasToMolecularConversionFactor[[#Headers],[Gas]], 0)</f>
        <v>NMVOC</v>
      </c>
      <c r="E54" s="19" t="str" cm="1">
        <f t="array" ref="E54">Common_InputFunctions.Utility_DisplayArrayInTable(Common_SourceData.Common_SourceData_ConvertGasElementalToMolecular_Data(),Table_GasToMolecularConversionFactor[[#Headers],[Gas]], 0)</f>
        <v>14/12</v>
      </c>
      <c r="F54" s="19" cm="1">
        <f t="array" ref="F54">Common_InputFunctions.Utility_DisplayArrayInTable(Common_SourceData.Common_SourceData_ConvertGasElementalToMolecular_Data(),Table_GasToMolecularConversionFactor[[#Headers],[Gas]], 0)</f>
        <v>14</v>
      </c>
      <c r="G54" s="19" cm="1">
        <f t="array" ref="G54">Common_InputFunctions.Utility_DisplayArrayInTable(Common_SourceData.Common_SourceData_ConvertGasElementalToMolecular_Data(),Table_GasToMolecularConversionFactor[[#Headers],[Gas]], 0)</f>
        <v>12</v>
      </c>
      <c r="H54" s="19">
        <f>Table_GasToMolecularConversionFactor[[#This Row],[Conversion factor 1]]/Table_GasToMolecularConversionFactor[[#This Row],[Conversion factor 2]]</f>
        <v>1.1666666666666667</v>
      </c>
    </row>
    <row r="55" spans="1:8" ht="20.100000000000001" customHeight="1" x14ac:dyDescent="0.2">
      <c r="A55" s="5" t="str">
        <f>HYPERLINK("#'Constants - Scope 3'!A1", "Constants - Scope 3")</f>
        <v>Constants - Scope 3</v>
      </c>
    </row>
    <row r="56" spans="1:8" ht="20.100000000000001" customHeight="1" x14ac:dyDescent="0.2">
      <c r="A56" s="5" t="str">
        <f>HYPERLINK("#'Constants - Solid Waste'!A1", "Constants - Solid Waste")</f>
        <v>Constants - Solid Waste</v>
      </c>
    </row>
    <row r="57" spans="1:8" ht="20.100000000000001" customHeight="1" x14ac:dyDescent="0.2">
      <c r="A57" s="81" t="str">
        <f>HYPERLINK("#'Constants - Common'!A1", "Constants - Common")</f>
        <v>Constants - Common</v>
      </c>
      <c r="D57" s="2" t="str" cm="1">
        <f t="array" ref="D57">Common_SourceData.Common_SourceData_WetAndDryZones_Title()</f>
        <v>VEERG Australian wet and dry zones</v>
      </c>
    </row>
    <row r="58" spans="1:8" ht="20.100000000000001" customHeight="1" x14ac:dyDescent="0.2">
      <c r="A58"/>
      <c r="D58" s="17" t="str" cm="1">
        <f t="array" ref="D58">Common_SourceData.Common_SourceData_WetAndDryZones_Source()</f>
        <v>VEERG 2026: Table 1.2: Translating climate zones to wet and dry zones</v>
      </c>
    </row>
    <row r="59" spans="1:8" ht="20.100000000000001" customHeight="1" x14ac:dyDescent="0.2">
      <c r="A59"/>
      <c r="D59" s="25" t="str" cm="1">
        <f t="array" ref="D59:D61">"⚠️" &amp; Common_SourceData.Common_SourceData_WetAndDryZones_Variation()</f>
        <v>⚠️VARIATION OF SOURCE DATA:</v>
      </c>
    </row>
    <row r="60" spans="1:8" ht="20.100000000000001" customHeight="1" x14ac:dyDescent="0.2">
      <c r="A60"/>
      <c r="D60" s="25" t="str">
        <v>⚠️Added warm / cool temperate moist / dry - low frost and high temp classes to accommodate climate scenarios excluded by VEERG criteria.</v>
      </c>
    </row>
    <row r="61" spans="1:8" ht="20.100000000000001" customHeight="1" x14ac:dyDescent="0.2">
      <c r="A61"/>
      <c r="D61" s="25" t="str">
        <v>⚠️Fixed typo - Changed 'Fry' to 'Dry'.</v>
      </c>
    </row>
    <row r="62" spans="1:8" ht="20.100000000000001" customHeight="1" x14ac:dyDescent="0.2">
      <c r="A62"/>
    </row>
    <row r="63" spans="1:8" ht="20.100000000000001" customHeight="1" x14ac:dyDescent="0.2">
      <c r="A63"/>
      <c r="D63" s="19" t="s">
        <v>31</v>
      </c>
      <c r="E63" s="19" t="s">
        <v>32</v>
      </c>
    </row>
    <row r="64" spans="1:8" ht="20.100000000000001" customHeight="1" x14ac:dyDescent="0.2">
      <c r="A64"/>
      <c r="D64" s="19" t="str" cm="1">
        <f t="array" ref="D64">Common_InputFunctions.Utility_DisplayArrayInTable(Common_SourceData.Common_SourceData_WetAndDryZones_Data(), Table_SourceData_WetDryZones[[#Headers],[Climate zone]], 0)</f>
        <v>Tropical montane</v>
      </c>
      <c r="E64" s="19" t="str" cm="1">
        <f t="array" ref="E64">Common_InputFunctions.Utility_DisplayArrayInTable(Common_SourceData.Common_SourceData_WetAndDryZones_Data(), Table_SourceData_WetDryZones[[#Headers],[Climate zone]], 0)</f>
        <v>Wet climate zone</v>
      </c>
    </row>
    <row r="65" spans="1:5" ht="20.100000000000001" customHeight="1" x14ac:dyDescent="0.2">
      <c r="A65"/>
      <c r="D65" s="19" t="str" cm="1">
        <f t="array" ref="D65">Common_InputFunctions.Utility_DisplayArrayInTable(Common_SourceData.Common_SourceData_WetAndDryZones_Data(), Table_SourceData_WetDryZones[[#Headers],[Climate zone]], 0)</f>
        <v>Tropical wet</v>
      </c>
      <c r="E65" s="19" t="str" cm="1">
        <f t="array" ref="E65">Common_InputFunctions.Utility_DisplayArrayInTable(Common_SourceData.Common_SourceData_WetAndDryZones_Data(), Table_SourceData_WetDryZones[[#Headers],[Climate zone]], 0)</f>
        <v>Wet climate zone</v>
      </c>
    </row>
    <row r="66" spans="1:5" ht="20.100000000000001" customHeight="1" x14ac:dyDescent="0.2">
      <c r="A66"/>
      <c r="D66" s="19" t="str" cm="1">
        <f t="array" ref="D66">Common_InputFunctions.Utility_DisplayArrayInTable(Common_SourceData.Common_SourceData_WetAndDryZones_Data(), Table_SourceData_WetDryZones[[#Headers],[Climate zone]], 0)</f>
        <v>Tropical moist</v>
      </c>
      <c r="E66" s="19" t="str" cm="1">
        <f t="array" ref="E66">Common_InputFunctions.Utility_DisplayArrayInTable(Common_SourceData.Common_SourceData_WetAndDryZones_Data(), Table_SourceData_WetDryZones[[#Headers],[Climate zone]], 0)</f>
        <v>Wet climate zone</v>
      </c>
    </row>
    <row r="67" spans="1:5" ht="20.100000000000001" customHeight="1" x14ac:dyDescent="0.2">
      <c r="A67"/>
      <c r="D67" s="19" t="str" cm="1">
        <f t="array" ref="D67">Common_InputFunctions.Utility_DisplayArrayInTable(Common_SourceData.Common_SourceData_WetAndDryZones_Data(), Table_SourceData_WetDryZones[[#Headers],[Climate zone]], 0)</f>
        <v>Tropical dry</v>
      </c>
      <c r="E67" s="19" t="str" cm="1">
        <f t="array" ref="E67">Common_InputFunctions.Utility_DisplayArrayInTable(Common_SourceData.Common_SourceData_WetAndDryZones_Data(), Table_SourceData_WetDryZones[[#Headers],[Climate zone]], 0)</f>
        <v>Dry climate zone</v>
      </c>
    </row>
    <row r="68" spans="1:5" ht="20.100000000000001" customHeight="1" x14ac:dyDescent="0.2">
      <c r="A68" s="79" t="str">
        <f>HYPERLINK("#A1", "▲ Back to top")</f>
        <v>▲ Back to top</v>
      </c>
      <c r="D68" s="19" t="str" cm="1">
        <f t="array" ref="D68">Common_InputFunctions.Utility_DisplayArrayInTable(Common_SourceData.Common_SourceData_WetAndDryZones_Data(), Table_SourceData_WetDryZones[[#Headers],[Climate zone]], 0)</f>
        <v>Warm temperate moist</v>
      </c>
      <c r="E68" s="19" t="str" cm="1">
        <f t="array" ref="E68">Common_InputFunctions.Utility_DisplayArrayInTable(Common_SourceData.Common_SourceData_WetAndDryZones_Data(), Table_SourceData_WetDryZones[[#Headers],[Climate zone]], 0)</f>
        <v>Wet climate zone</v>
      </c>
    </row>
    <row r="69" spans="1:5" ht="20.100000000000001" customHeight="1" x14ac:dyDescent="0.2">
      <c r="A69"/>
      <c r="D69" s="19" t="str" cm="1">
        <f t="array" ref="D69">Common_InputFunctions.Utility_DisplayArrayInTable(Common_SourceData.Common_SourceData_WetAndDryZones_Data(), Table_SourceData_WetDryZones[[#Headers],[Climate zone]], 0)</f>
        <v>Warm temperate dry</v>
      </c>
      <c r="E69" s="19" t="str" cm="1">
        <f t="array" ref="E69">Common_InputFunctions.Utility_DisplayArrayInTable(Common_SourceData.Common_SourceData_WetAndDryZones_Data(), Table_SourceData_WetDryZones[[#Headers],[Climate zone]], 0)</f>
        <v>Dry climate zone</v>
      </c>
    </row>
    <row r="70" spans="1:5" ht="20.100000000000001" customHeight="1" x14ac:dyDescent="0.2">
      <c r="A70"/>
      <c r="D70" s="19" t="str" cm="1">
        <f t="array" ref="D70">Common_InputFunctions.Utility_DisplayArrayInTable(Common_SourceData.Common_SourceData_WetAndDryZones_Data(), Table_SourceData_WetDryZones[[#Headers],[Climate zone]], 0)</f>
        <v>Cool temperate moist</v>
      </c>
      <c r="E70" s="19" t="str" cm="1">
        <f t="array" ref="E70">Common_InputFunctions.Utility_DisplayArrayInTable(Common_SourceData.Common_SourceData_WetAndDryZones_Data(), Table_SourceData_WetDryZones[[#Headers],[Climate zone]], 0)</f>
        <v>Wet climate zone</v>
      </c>
    </row>
    <row r="71" spans="1:5" ht="20.100000000000001" customHeight="1" x14ac:dyDescent="0.2">
      <c r="A71"/>
      <c r="D71" s="19" t="str" cm="1">
        <f t="array" ref="D71">Common_InputFunctions.Utility_DisplayArrayInTable(Common_SourceData.Common_SourceData_WetAndDryZones_Data(), Table_SourceData_WetDryZones[[#Headers],[Climate zone]], 0)</f>
        <v>Cool temperate dry</v>
      </c>
      <c r="E71" s="19" t="str" cm="1">
        <f t="array" ref="E71">Common_InputFunctions.Utility_DisplayArrayInTable(Common_SourceData.Common_SourceData_WetAndDryZones_Data(), Table_SourceData_WetDryZones[[#Headers],[Climate zone]], 0)</f>
        <v>Dry climate zone</v>
      </c>
    </row>
    <row r="72" spans="1:5" ht="20.100000000000001" customHeight="1" x14ac:dyDescent="0.2">
      <c r="A72"/>
      <c r="D72" s="19" t="str" cm="1">
        <f t="array" ref="D72">Common_InputFunctions.Utility_DisplayArrayInTable(Common_SourceData.Common_SourceData_WetAndDryZones_Data(), Table_SourceData_WetDryZones[[#Headers],[Climate zone]], 0)</f>
        <v>Warm temperate moist - low frost</v>
      </c>
      <c r="E72" s="19" t="str" cm="1">
        <f t="array" ref="E72">Common_InputFunctions.Utility_DisplayArrayInTable(Common_SourceData.Common_SourceData_WetAndDryZones_Data(), Table_SourceData_WetDryZones[[#Headers],[Climate zone]], 0)</f>
        <v>Wet climate zone</v>
      </c>
    </row>
    <row r="73" spans="1:5" ht="20.100000000000001" customHeight="1" x14ac:dyDescent="0.2">
      <c r="A73"/>
      <c r="D73" s="19" t="str" cm="1">
        <f t="array" ref="D73">Common_InputFunctions.Utility_DisplayArrayInTable(Common_SourceData.Common_SourceData_WetAndDryZones_Data(), Table_SourceData_WetDryZones[[#Headers],[Climate zone]], 0)</f>
        <v>Warm temperate dry - low frost</v>
      </c>
      <c r="E73" s="19" t="str" cm="1">
        <f t="array" ref="E73">Common_InputFunctions.Utility_DisplayArrayInTable(Common_SourceData.Common_SourceData_WetAndDryZones_Data(), Table_SourceData_WetDryZones[[#Headers],[Climate zone]], 0)</f>
        <v>Dry climate zone</v>
      </c>
    </row>
    <row r="74" spans="1:5" ht="20.100000000000001" customHeight="1" x14ac:dyDescent="0.2">
      <c r="A74"/>
      <c r="D74" s="19" t="str" cm="1">
        <f t="array" ref="D74">Common_InputFunctions.Utility_DisplayArrayInTable(Common_SourceData.Common_SourceData_WetAndDryZones_Data(), Table_SourceData_WetDryZones[[#Headers],[Climate zone]], 0)</f>
        <v>Warm temperate moist - high temp</v>
      </c>
      <c r="E74" s="19" t="str" cm="1">
        <f t="array" ref="E74">Common_InputFunctions.Utility_DisplayArrayInTable(Common_SourceData.Common_SourceData_WetAndDryZones_Data(), Table_SourceData_WetDryZones[[#Headers],[Climate zone]], 0)</f>
        <v>Wet climate zone</v>
      </c>
    </row>
    <row r="75" spans="1:5" ht="20.100000000000001" customHeight="1" x14ac:dyDescent="0.2">
      <c r="A75"/>
      <c r="D75" s="19" t="str" cm="1">
        <f t="array" ref="D75">Common_InputFunctions.Utility_DisplayArrayInTable(Common_SourceData.Common_SourceData_WetAndDryZones_Data(), Table_SourceData_WetDryZones[[#Headers],[Climate zone]], 0)</f>
        <v>Warm temperate dry - high temp</v>
      </c>
      <c r="E75" s="19" t="str" cm="1">
        <f t="array" ref="E75">Common_InputFunctions.Utility_DisplayArrayInTable(Common_SourceData.Common_SourceData_WetAndDryZones_Data(), Table_SourceData_WetDryZones[[#Headers],[Climate zone]], 0)</f>
        <v>Dry climate zone</v>
      </c>
    </row>
    <row r="76" spans="1:5" ht="20.100000000000001" customHeight="1" x14ac:dyDescent="0.2">
      <c r="A76"/>
      <c r="D76" s="19" t="str" cm="1">
        <f t="array" ref="D76">Common_InputFunctions.Utility_DisplayArrayInTable(Common_SourceData.Common_SourceData_WetAndDryZones_Data(), Table_SourceData_WetDryZones[[#Headers],[Climate zone]], 0)</f>
        <v>Cool temperate moist - low frost</v>
      </c>
      <c r="E76" s="19" t="str" cm="1">
        <f t="array" ref="E76">Common_InputFunctions.Utility_DisplayArrayInTable(Common_SourceData.Common_SourceData_WetAndDryZones_Data(), Table_SourceData_WetDryZones[[#Headers],[Climate zone]], 0)</f>
        <v>Wet climate zone</v>
      </c>
    </row>
    <row r="77" spans="1:5" ht="20.100000000000001" customHeight="1" x14ac:dyDescent="0.2">
      <c r="A77"/>
      <c r="D77" s="19" t="str" cm="1">
        <f t="array" ref="D77">Common_InputFunctions.Utility_DisplayArrayInTable(Common_SourceData.Common_SourceData_WetAndDryZones_Data(), Table_SourceData_WetDryZones[[#Headers],[Climate zone]], 0)</f>
        <v>Cool temperate dry - low frost</v>
      </c>
      <c r="E77" s="19" t="str" cm="1">
        <f t="array" ref="E77">Common_InputFunctions.Utility_DisplayArrayInTable(Common_SourceData.Common_SourceData_WetAndDryZones_Data(), Table_SourceData_WetDryZones[[#Headers],[Climate zone]], 0)</f>
        <v>Dry climate zone</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tr" cm="1">
        <f t="array" ref="D81">Common_SourceData.Common_SourceData_ClimateZones_Title()</f>
        <v>VEERG Australian climate zones</v>
      </c>
    </row>
    <row r="82" spans="1:20" ht="20.100000000000001" customHeight="1" x14ac:dyDescent="0.2">
      <c r="A82"/>
      <c r="D82" s="17" t="str" cm="1">
        <f t="array" ref="D82">Common_SourceData.Common_SourceData_ClimateZones_Source()</f>
        <v>VEERG 2026: Table 1.3: Climate and Rainfall zone classifications and definitions</v>
      </c>
    </row>
    <row r="83" spans="1:20" ht="20.100000000000001" customHeight="1" x14ac:dyDescent="0.2">
      <c r="A83"/>
      <c r="D83" s="25" t="str" cm="1">
        <f t="array" ref="D83:D87">"⚠️" &amp; Common_SourceData.Common_SourceData_ClimateZones_Variation()</f>
        <v>⚠️VARIATION OF SOURCE DATA:</v>
      </c>
    </row>
    <row r="84" spans="1:20" ht="20.100000000000001" customHeight="1" x14ac:dyDescent="0.2">
      <c r="A84"/>
      <c r="D84" s="25" t="str">
        <v>⚠️Added warm / cool temperate moist / dry - low frost and high temp classes to accommodate climate scenarios excluded by VEERG criteria.</v>
      </c>
    </row>
    <row r="85" spans="1:20" ht="20.100000000000001" customHeight="1" x14ac:dyDescent="0.2">
      <c r="A85"/>
      <c r="D85" s="25" t="str">
        <v>⚠️Fixed typo in MAT value for warm temperate dry - changed 10 to 11.</v>
      </c>
    </row>
    <row r="86" spans="1:20" ht="20.100000000000001" customHeight="1" x14ac:dyDescent="0.2">
      <c r="A86"/>
      <c r="D86" s="25" t="str">
        <v>⚠️Added min and max columns for MAT, MAP, frost days per year, elevation, MAP:PET to calculate zones from real climate data.</v>
      </c>
    </row>
    <row r="87" spans="1:20" ht="20.100000000000001" customHeight="1" x14ac:dyDescent="0.2">
      <c r="A87"/>
      <c r="D87" s="25" t="str">
        <v>⚠️GAF accepts rainfall as a proxy for precipitation.</v>
      </c>
    </row>
    <row r="88" spans="1:20" ht="20.100000000000001" customHeight="1" x14ac:dyDescent="0.2">
      <c r="A88"/>
    </row>
    <row r="89" spans="1:20" ht="20.100000000000001" customHeight="1" x14ac:dyDescent="0.2">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
      <c r="A90"/>
      <c r="D90" s="19" t="str" cm="1">
        <f t="array" ref="D90">Common_InputFunctions.Utility_DisplayArrayInTable(Common_SourceData.Common_SourceData_ClimateZones_Data(), Table_SourceData_ClimateZones[[#Headers],[Climate zone]], 0)</f>
        <v>Tropical montane</v>
      </c>
      <c r="E90" s="19" t="str" cm="1">
        <f t="array" ref="E90">Common_InputFunctions.Utility_DisplayArrayInTable(Common_SourceData.Common_SourceData_ClimateZones_Data(), Table_SourceData_ClimateZones[[#Headers],[Climate zone]], 0)</f>
        <v>&gt; 18 C</v>
      </c>
      <c r="F90" s="19" t="str" cm="1">
        <f t="array" ref="F90">Common_InputFunctions.Utility_DisplayArrayInTable(Common_SourceData.Common_SourceData_ClimateZones_Data(), Table_SourceData_ClimateZones[[#Headers],[Climate zone]], 0)</f>
        <v>Any</v>
      </c>
      <c r="G90" s="19" t="str" cm="1">
        <f t="array" ref="G90">Common_InputFunctions.Utility_DisplayArrayInTable(Common_SourceData.Common_SourceData_ClimateZones_Data(), Table_SourceData_ClimateZones[[#Headers],[Climate zone]], 0)</f>
        <v>≤ 7</v>
      </c>
      <c r="H90" s="19" t="str" cm="1">
        <f t="array" ref="H90">Common_InputFunctions.Utility_DisplayArrayInTable(Common_SourceData.Common_SourceData_ClimateZones_Data(), Table_SourceData_ClimateZones[[#Headers],[Climate zone]], 0)</f>
        <v>&gt; 1000 m</v>
      </c>
      <c r="I90" s="19" t="str" cm="1">
        <f t="array" ref="I90">Common_InputFunctions.Utility_DisplayArrayInTable(Common_SourceData.Common_SourceData_ClimateZones_Data(), Table_SourceData_ClimateZones[[#Headers],[Climate zone]], 0)</f>
        <v>Any</v>
      </c>
      <c r="J90" s="19" cm="1">
        <f t="array" ref="J90">Common_InputFunctions.Utility_DisplayArrayInTable(Common_SourceData.Common_SourceData_ClimateZones_Data(), Table_SourceData_ClimateZones[[#Headers],[Climate zone]], 0)</f>
        <v>18.001000000000001</v>
      </c>
      <c r="K90" s="19" cm="1">
        <f t="array" ref="K90">Common_InputFunctions.Utility_DisplayArrayInTable(Common_SourceData.Common_SourceData_ClimateZones_Data(), Table_SourceData_ClimateZones[[#Headers],[Climate zone]], 0)</f>
        <v>999999</v>
      </c>
      <c r="L90" s="19" cm="1">
        <f t="array" ref="L90">Common_InputFunctions.Utility_DisplayArrayInTable(Common_SourceData.Common_SourceData_ClimateZones_Data(), Table_SourceData_ClimateZones[[#Headers],[Climate zone]], 0)</f>
        <v>-999999</v>
      </c>
      <c r="M90" s="19" cm="1">
        <f t="array" ref="M90">Common_InputFunctions.Utility_DisplayArrayInTable(Common_SourceData.Common_SourceData_ClimateZones_Data(), Table_SourceData_ClimateZones[[#Headers],[Climate zone]], 0)</f>
        <v>999999</v>
      </c>
      <c r="N90" s="19" cm="1">
        <f t="array" ref="N90">Common_InputFunctions.Utility_DisplayArrayInTable(Common_SourceData.Common_SourceData_ClimateZones_Data(), Table_SourceData_ClimateZones[[#Headers],[Climate zone]], 0)</f>
        <v>-999999</v>
      </c>
      <c r="O90" s="19" cm="1">
        <f t="array" ref="O90">Common_InputFunctions.Utility_DisplayArrayInTable(Common_SourceData.Common_SourceData_ClimateZones_Data(), Table_SourceData_ClimateZones[[#Headers],[Climate zone]], 0)</f>
        <v>7</v>
      </c>
      <c r="P90" s="19" cm="1">
        <f t="array" ref="P90">Common_InputFunctions.Utility_DisplayArrayInTable(Common_SourceData.Common_SourceData_ClimateZones_Data(), Table_SourceData_ClimateZones[[#Headers],[Climate zone]], 0)</f>
        <v>1000</v>
      </c>
      <c r="Q90" s="19" cm="1">
        <f t="array" ref="Q90">Common_InputFunctions.Utility_DisplayArrayInTable(Common_SourceData.Common_SourceData_ClimateZones_Data(), Table_SourceData_ClimateZones[[#Headers],[Climate zone]], 0)</f>
        <v>999999</v>
      </c>
      <c r="R90" s="19" cm="1">
        <f t="array" ref="R90">Common_InputFunctions.Utility_DisplayArrayInTable(Common_SourceData.Common_SourceData_ClimateZones_Data(), Table_SourceData_ClimateZones[[#Headers],[Climate zone]], 0)</f>
        <v>-999999</v>
      </c>
      <c r="S90" s="19" cm="1">
        <f t="array" ref="S90">Common_InputFunctions.Utility_DisplayArrayInTable(Common_SourceData.Common_SourceData_ClimateZones_Data(), Table_SourceData_ClimateZones[[#Headers],[Climate zone]], 0)</f>
        <v>999999</v>
      </c>
      <c r="T90" s="19"/>
    </row>
    <row r="91" spans="1:20" ht="20.100000000000001" customHeight="1" x14ac:dyDescent="0.2">
      <c r="A91"/>
      <c r="D91" s="19" t="str" cm="1">
        <f t="array" ref="D91">Common_InputFunctions.Utility_DisplayArrayInTable(Common_SourceData.Common_SourceData_ClimateZones_Data(), Table_SourceData_ClimateZones[[#Headers],[Climate zone]], 0)</f>
        <v>Tropical wet</v>
      </c>
      <c r="E91" s="19" t="str" cm="1">
        <f t="array" ref="E91">Common_InputFunctions.Utility_DisplayArrayInTable(Common_SourceData.Common_SourceData_ClimateZones_Data(), Table_SourceData_ClimateZones[[#Headers],[Climate zone]], 0)</f>
        <v>&gt; 18 C</v>
      </c>
      <c r="F91" s="19" t="str" cm="1">
        <f t="array" ref="F91">Common_InputFunctions.Utility_DisplayArrayInTable(Common_SourceData.Common_SourceData_ClimateZones_Data(), Table_SourceData_ClimateZones[[#Headers],[Climate zone]], 0)</f>
        <v>&gt; 2000 mm</v>
      </c>
      <c r="G91" s="19" t="str" cm="1">
        <f t="array" ref="G91">Common_InputFunctions.Utility_DisplayArrayInTable(Common_SourceData.Common_SourceData_ClimateZones_Data(), Table_SourceData_ClimateZones[[#Headers],[Climate zone]], 0)</f>
        <v>≤ 7</v>
      </c>
      <c r="H91" s="19" t="str" cm="1">
        <f t="array" ref="H91">Common_InputFunctions.Utility_DisplayArrayInTable(Common_SourceData.Common_SourceData_ClimateZones_Data(), Table_SourceData_ClimateZones[[#Headers],[Climate zone]], 0)</f>
        <v>≤ 1000 m</v>
      </c>
      <c r="I91" s="19" t="str" cm="1">
        <f t="array" ref="I91">Common_InputFunctions.Utility_DisplayArrayInTable(Common_SourceData.Common_SourceData_ClimateZones_Data(), Table_SourceData_ClimateZones[[#Headers],[Climate zone]], 0)</f>
        <v>Any</v>
      </c>
      <c r="J91" s="19" cm="1">
        <f t="array" ref="J91">Common_InputFunctions.Utility_DisplayArrayInTable(Common_SourceData.Common_SourceData_ClimateZones_Data(), Table_SourceData_ClimateZones[[#Headers],[Climate zone]], 0)</f>
        <v>18.001000000000001</v>
      </c>
      <c r="K91" s="19" cm="1">
        <f t="array" ref="K91">Common_InputFunctions.Utility_DisplayArrayInTable(Common_SourceData.Common_SourceData_ClimateZones_Data(), Table_SourceData_ClimateZones[[#Headers],[Climate zone]], 0)</f>
        <v>999999</v>
      </c>
      <c r="L91" s="19" cm="1">
        <f t="array" ref="L91">Common_InputFunctions.Utility_DisplayArrayInTable(Common_SourceData.Common_SourceData_ClimateZones_Data(), Table_SourceData_ClimateZones[[#Headers],[Climate zone]], 0)</f>
        <v>2000.001</v>
      </c>
      <c r="M91" s="19" cm="1">
        <f t="array" ref="M91">Common_InputFunctions.Utility_DisplayArrayInTable(Common_SourceData.Common_SourceData_ClimateZones_Data(), Table_SourceData_ClimateZones[[#Headers],[Climate zone]], 0)</f>
        <v>999999</v>
      </c>
      <c r="N91" s="19" cm="1">
        <f t="array" ref="N91">Common_InputFunctions.Utility_DisplayArrayInTable(Common_SourceData.Common_SourceData_ClimateZones_Data(), Table_SourceData_ClimateZones[[#Headers],[Climate zone]], 0)</f>
        <v>-999999</v>
      </c>
      <c r="O91" s="19" cm="1">
        <f t="array" ref="O91">Common_InputFunctions.Utility_DisplayArrayInTable(Common_SourceData.Common_SourceData_ClimateZones_Data(), Table_SourceData_ClimateZones[[#Headers],[Climate zone]], 0)</f>
        <v>7</v>
      </c>
      <c r="P91" s="19" cm="1">
        <f t="array" ref="P91">Common_InputFunctions.Utility_DisplayArrayInTable(Common_SourceData.Common_SourceData_ClimateZones_Data(), Table_SourceData_ClimateZones[[#Headers],[Climate zone]], 0)</f>
        <v>-999999</v>
      </c>
      <c r="Q91" s="19" cm="1">
        <f t="array" ref="Q91">Common_InputFunctions.Utility_DisplayArrayInTable(Common_SourceData.Common_SourceData_ClimateZones_Data(), Table_SourceData_ClimateZones[[#Headers],[Climate zone]], 0)</f>
        <v>999.99900000000002</v>
      </c>
      <c r="R91" s="19" cm="1">
        <f t="array" ref="R91">Common_InputFunctions.Utility_DisplayArrayInTable(Common_SourceData.Common_SourceData_ClimateZones_Data(), Table_SourceData_ClimateZones[[#Headers],[Climate zone]], 0)</f>
        <v>-999999</v>
      </c>
      <c r="S91" s="19" cm="1">
        <f t="array" ref="S91">Common_InputFunctions.Utility_DisplayArrayInTable(Common_SourceData.Common_SourceData_ClimateZones_Data(), Table_SourceData_ClimateZones[[#Headers],[Climate zone]], 0)</f>
        <v>999999</v>
      </c>
      <c r="T91" s="19"/>
    </row>
    <row r="92" spans="1:20" ht="20.100000000000001" customHeight="1" x14ac:dyDescent="0.2">
      <c r="A92"/>
      <c r="D92" s="19" t="str" cm="1">
        <f t="array" ref="D92">Common_InputFunctions.Utility_DisplayArrayInTable(Common_SourceData.Common_SourceData_ClimateZones_Data(), Table_SourceData_ClimateZones[[#Headers],[Climate zone]], 0)</f>
        <v>Tropical moist</v>
      </c>
      <c r="E92" s="19" t="str" cm="1">
        <f t="array" ref="E92">Common_InputFunctions.Utility_DisplayArrayInTable(Common_SourceData.Common_SourceData_ClimateZones_Data(), Table_SourceData_ClimateZones[[#Headers],[Climate zone]], 0)</f>
        <v>&gt; 18 C</v>
      </c>
      <c r="F92" s="19" t="str" cm="1">
        <f t="array" ref="F92">Common_InputFunctions.Utility_DisplayArrayInTable(Common_SourceData.Common_SourceData_ClimateZones_Data(), Table_SourceData_ClimateZones[[#Headers],[Climate zone]], 0)</f>
        <v>&gt; 1000 mm - ≤ 2000 mm</v>
      </c>
      <c r="G92" s="19" t="str" cm="1">
        <f t="array" ref="G92">Common_InputFunctions.Utility_DisplayArrayInTable(Common_SourceData.Common_SourceData_ClimateZones_Data(), Table_SourceData_ClimateZones[[#Headers],[Climate zone]], 0)</f>
        <v>≤ 7</v>
      </c>
      <c r="H92" s="19" t="str" cm="1">
        <f t="array" ref="H92">Common_InputFunctions.Utility_DisplayArrayInTable(Common_SourceData.Common_SourceData_ClimateZones_Data(), Table_SourceData_ClimateZones[[#Headers],[Climate zone]], 0)</f>
        <v>≤ 1000 m</v>
      </c>
      <c r="I92" s="19" t="str" cm="1">
        <f t="array" ref="I92">Common_InputFunctions.Utility_DisplayArrayInTable(Common_SourceData.Common_SourceData_ClimateZones_Data(), Table_SourceData_ClimateZones[[#Headers],[Climate zone]], 0)</f>
        <v>Any</v>
      </c>
      <c r="J92" s="19" cm="1">
        <f t="array" ref="J92">Common_InputFunctions.Utility_DisplayArrayInTable(Common_SourceData.Common_SourceData_ClimateZones_Data(), Table_SourceData_ClimateZones[[#Headers],[Climate zone]], 0)</f>
        <v>18.001000000000001</v>
      </c>
      <c r="K92" s="19" cm="1">
        <f t="array" ref="K92">Common_InputFunctions.Utility_DisplayArrayInTable(Common_SourceData.Common_SourceData_ClimateZones_Data(), Table_SourceData_ClimateZones[[#Headers],[Climate zone]], 0)</f>
        <v>999999</v>
      </c>
      <c r="L92" s="19" cm="1">
        <f t="array" ref="L92">Common_InputFunctions.Utility_DisplayArrayInTable(Common_SourceData.Common_SourceData_ClimateZones_Data(), Table_SourceData_ClimateZones[[#Headers],[Climate zone]], 0)</f>
        <v>1000.001</v>
      </c>
      <c r="M92" s="19" cm="1">
        <f t="array" ref="M92">Common_InputFunctions.Utility_DisplayArrayInTable(Common_SourceData.Common_SourceData_ClimateZones_Data(), Table_SourceData_ClimateZones[[#Headers],[Climate zone]], 0)</f>
        <v>2000</v>
      </c>
      <c r="N92" s="19" cm="1">
        <f t="array" ref="N92">Common_InputFunctions.Utility_DisplayArrayInTable(Common_SourceData.Common_SourceData_ClimateZones_Data(), Table_SourceData_ClimateZones[[#Headers],[Climate zone]], 0)</f>
        <v>-999999</v>
      </c>
      <c r="O92" s="19" cm="1">
        <f t="array" ref="O92">Common_InputFunctions.Utility_DisplayArrayInTable(Common_SourceData.Common_SourceData_ClimateZones_Data(), Table_SourceData_ClimateZones[[#Headers],[Climate zone]], 0)</f>
        <v>7</v>
      </c>
      <c r="P92" s="19" cm="1">
        <f t="array" ref="P92">Common_InputFunctions.Utility_DisplayArrayInTable(Common_SourceData.Common_SourceData_ClimateZones_Data(), Table_SourceData_ClimateZones[[#Headers],[Climate zone]], 0)</f>
        <v>-999999</v>
      </c>
      <c r="Q92" s="19" cm="1">
        <f t="array" ref="Q92">Common_InputFunctions.Utility_DisplayArrayInTable(Common_SourceData.Common_SourceData_ClimateZones_Data(), Table_SourceData_ClimateZones[[#Headers],[Climate zone]], 0)</f>
        <v>999.99900000000002</v>
      </c>
      <c r="R92" s="19" cm="1">
        <f t="array" ref="R92">Common_InputFunctions.Utility_DisplayArrayInTable(Common_SourceData.Common_SourceData_ClimateZones_Data(), Table_SourceData_ClimateZones[[#Headers],[Climate zone]], 0)</f>
        <v>-999999</v>
      </c>
      <c r="S92" s="19" cm="1">
        <f t="array" ref="S92">Common_InputFunctions.Utility_DisplayArrayInTable(Common_SourceData.Common_SourceData_ClimateZones_Data(), Table_SourceData_ClimateZones[[#Headers],[Climate zone]], 0)</f>
        <v>999999</v>
      </c>
      <c r="T92" s="19"/>
    </row>
    <row r="93" spans="1:20" ht="20.100000000000001" customHeight="1" x14ac:dyDescent="0.2">
      <c r="A93"/>
      <c r="D93" s="19" t="str" cm="1">
        <f t="array" ref="D93">Common_InputFunctions.Utility_DisplayArrayInTable(Common_SourceData.Common_SourceData_ClimateZones_Data(), Table_SourceData_ClimateZones[[#Headers],[Climate zone]], 0)</f>
        <v>Tropical dry</v>
      </c>
      <c r="E93" s="19" t="str" cm="1">
        <f t="array" ref="E93">Common_InputFunctions.Utility_DisplayArrayInTable(Common_SourceData.Common_SourceData_ClimateZones_Data(), Table_SourceData_ClimateZones[[#Headers],[Climate zone]], 0)</f>
        <v>&gt; 18 C</v>
      </c>
      <c r="F93" s="19" t="str" cm="1">
        <f t="array" ref="F93">Common_InputFunctions.Utility_DisplayArrayInTable(Common_SourceData.Common_SourceData_ClimateZones_Data(), Table_SourceData_ClimateZones[[#Headers],[Climate zone]], 0)</f>
        <v>≤ 1000 mm</v>
      </c>
      <c r="G93" s="19" t="str" cm="1">
        <f t="array" ref="G93">Common_InputFunctions.Utility_DisplayArrayInTable(Common_SourceData.Common_SourceData_ClimateZones_Data(), Table_SourceData_ClimateZones[[#Headers],[Climate zone]], 0)</f>
        <v>≤ 7</v>
      </c>
      <c r="H93" s="19" t="str" cm="1">
        <f t="array" ref="H93">Common_InputFunctions.Utility_DisplayArrayInTable(Common_SourceData.Common_SourceData_ClimateZones_Data(), Table_SourceData_ClimateZones[[#Headers],[Climate zone]], 0)</f>
        <v>≤ 1000 m</v>
      </c>
      <c r="I93" s="19" t="str" cm="1">
        <f t="array" ref="I93">Common_InputFunctions.Utility_DisplayArrayInTable(Common_SourceData.Common_SourceData_ClimateZones_Data(), Table_SourceData_ClimateZones[[#Headers],[Climate zone]], 0)</f>
        <v>Any</v>
      </c>
      <c r="J93" s="19" cm="1">
        <f t="array" ref="J93">Common_InputFunctions.Utility_DisplayArrayInTable(Common_SourceData.Common_SourceData_ClimateZones_Data(), Table_SourceData_ClimateZones[[#Headers],[Climate zone]], 0)</f>
        <v>18.001000000000001</v>
      </c>
      <c r="K93" s="19" cm="1">
        <f t="array" ref="K93">Common_InputFunctions.Utility_DisplayArrayInTable(Common_SourceData.Common_SourceData_ClimateZones_Data(), Table_SourceData_ClimateZones[[#Headers],[Climate zone]], 0)</f>
        <v>999999</v>
      </c>
      <c r="L93" s="19" cm="1">
        <f t="array" ref="L93">Common_InputFunctions.Utility_DisplayArrayInTable(Common_SourceData.Common_SourceData_ClimateZones_Data(), Table_SourceData_ClimateZones[[#Headers],[Climate zone]], 0)</f>
        <v>-999999</v>
      </c>
      <c r="M93" s="19" cm="1">
        <f t="array" ref="M93">Common_InputFunctions.Utility_DisplayArrayInTable(Common_SourceData.Common_SourceData_ClimateZones_Data(), Table_SourceData_ClimateZones[[#Headers],[Climate zone]], 0)</f>
        <v>1000</v>
      </c>
      <c r="N93" s="19" cm="1">
        <f t="array" ref="N93">Common_InputFunctions.Utility_DisplayArrayInTable(Common_SourceData.Common_SourceData_ClimateZones_Data(), Table_SourceData_ClimateZones[[#Headers],[Climate zone]], 0)</f>
        <v>-999999</v>
      </c>
      <c r="O93" s="19" cm="1">
        <f t="array" ref="O93">Common_InputFunctions.Utility_DisplayArrayInTable(Common_SourceData.Common_SourceData_ClimateZones_Data(), Table_SourceData_ClimateZones[[#Headers],[Climate zone]], 0)</f>
        <v>7</v>
      </c>
      <c r="P93" s="19" cm="1">
        <f t="array" ref="P93">Common_InputFunctions.Utility_DisplayArrayInTable(Common_SourceData.Common_SourceData_ClimateZones_Data(), Table_SourceData_ClimateZones[[#Headers],[Climate zone]], 0)</f>
        <v>-999999</v>
      </c>
      <c r="Q93" s="19" cm="1">
        <f t="array" ref="Q93">Common_InputFunctions.Utility_DisplayArrayInTable(Common_SourceData.Common_SourceData_ClimateZones_Data(), Table_SourceData_ClimateZones[[#Headers],[Climate zone]], 0)</f>
        <v>999.99900000000002</v>
      </c>
      <c r="R93" s="19" cm="1">
        <f t="array" ref="R93">Common_InputFunctions.Utility_DisplayArrayInTable(Common_SourceData.Common_SourceData_ClimateZones_Data(), Table_SourceData_ClimateZones[[#Headers],[Climate zone]], 0)</f>
        <v>-999999</v>
      </c>
      <c r="S93" s="19" cm="1">
        <f t="array" ref="S93">Common_InputFunctions.Utility_DisplayArrayInTable(Common_SourceData.Common_SourceData_ClimateZones_Data(), Table_SourceData_ClimateZones[[#Headers],[Climate zone]], 0)</f>
        <v>999999</v>
      </c>
      <c r="T93" s="19"/>
    </row>
    <row r="94" spans="1:20" ht="20.100000000000001" customHeight="1" x14ac:dyDescent="0.2">
      <c r="A94"/>
      <c r="D94" s="19" t="str" cm="1">
        <f t="array" ref="D94">Common_InputFunctions.Utility_DisplayArrayInTable(Common_SourceData.Common_SourceData_ClimateZones_Data(), Table_SourceData_ClimateZones[[#Headers],[Climate zone]], 0)</f>
        <v>Warm temperate moist</v>
      </c>
      <c r="E94" s="19" t="str" cm="1">
        <f t="array" ref="E94">Common_InputFunctions.Utility_DisplayArrayInTable(Common_SourceData.Common_SourceData_ClimateZones_Data(), Table_SourceData_ClimateZones[[#Headers],[Climate zone]], 0)</f>
        <v>&gt; 10 C</v>
      </c>
      <c r="F94" s="19" t="str" cm="1">
        <f t="array" ref="F94">Common_InputFunctions.Utility_DisplayArrayInTable(Common_SourceData.Common_SourceData_ClimateZones_Data(), Table_SourceData_ClimateZones[[#Headers],[Climate zone]], 0)</f>
        <v>Any</v>
      </c>
      <c r="G94" s="19" t="str" cm="1">
        <f t="array" ref="G94">Common_InputFunctions.Utility_DisplayArrayInTable(Common_SourceData.Common_SourceData_ClimateZones_Data(), Table_SourceData_ClimateZones[[#Headers],[Climate zone]], 0)</f>
        <v>Any</v>
      </c>
      <c r="H94" s="19" t="str" cm="1">
        <f t="array" ref="H94">Common_InputFunctions.Utility_DisplayArrayInTable(Common_SourceData.Common_SourceData_ClimateZones_Data(), Table_SourceData_ClimateZones[[#Headers],[Climate zone]], 0)</f>
        <v>Any</v>
      </c>
      <c r="I94" s="19" t="str" cm="1">
        <f t="array" ref="I94">Common_InputFunctions.Utility_DisplayArrayInTable(Common_SourceData.Common_SourceData_ClimateZones_Data(), Table_SourceData_ClimateZones[[#Headers],[Climate zone]], 0)</f>
        <v>&gt; 1</v>
      </c>
      <c r="J94" s="19" cm="1">
        <f t="array" ref="J94">Common_InputFunctions.Utility_DisplayArrayInTable(Common_SourceData.Common_SourceData_ClimateZones_Data(), Table_SourceData_ClimateZones[[#Headers],[Climate zone]], 0)</f>
        <v>10.000999999999999</v>
      </c>
      <c r="K94" s="19" cm="1">
        <f t="array" ref="K94">Common_InputFunctions.Utility_DisplayArrayInTable(Common_SourceData.Common_SourceData_ClimateZones_Data(), Table_SourceData_ClimateZones[[#Headers],[Climate zone]], 0)</f>
        <v>999999</v>
      </c>
      <c r="L94" s="19" cm="1">
        <f t="array" ref="L94">Common_InputFunctions.Utility_DisplayArrayInTable(Common_SourceData.Common_SourceData_ClimateZones_Data(), Table_SourceData_ClimateZones[[#Headers],[Climate zone]], 0)</f>
        <v>-999999</v>
      </c>
      <c r="M94" s="19" cm="1">
        <f t="array" ref="M94">Common_InputFunctions.Utility_DisplayArrayInTable(Common_SourceData.Common_SourceData_ClimateZones_Data(), Table_SourceData_ClimateZones[[#Headers],[Climate zone]], 0)</f>
        <v>999999</v>
      </c>
      <c r="N94" s="19" cm="1">
        <f t="array" ref="N94">Common_InputFunctions.Utility_DisplayArrayInTable(Common_SourceData.Common_SourceData_ClimateZones_Data(), Table_SourceData_ClimateZones[[#Headers],[Climate zone]], 0)</f>
        <v>-999999</v>
      </c>
      <c r="O94" s="19" cm="1">
        <f t="array" ref="O94">Common_InputFunctions.Utility_DisplayArrayInTable(Common_SourceData.Common_SourceData_ClimateZones_Data(), Table_SourceData_ClimateZones[[#Headers],[Climate zone]], 0)</f>
        <v>999999</v>
      </c>
      <c r="P94" s="19" cm="1">
        <f t="array" ref="P94">Common_InputFunctions.Utility_DisplayArrayInTable(Common_SourceData.Common_SourceData_ClimateZones_Data(), Table_SourceData_ClimateZones[[#Headers],[Climate zone]], 0)</f>
        <v>-999999</v>
      </c>
      <c r="Q94" s="19" cm="1">
        <f t="array" ref="Q94">Common_InputFunctions.Utility_DisplayArrayInTable(Common_SourceData.Common_SourceData_ClimateZones_Data(), Table_SourceData_ClimateZones[[#Headers],[Climate zone]], 0)</f>
        <v>999999</v>
      </c>
      <c r="R94" s="19" cm="1">
        <f t="array" ref="R94">Common_InputFunctions.Utility_DisplayArrayInTable(Common_SourceData.Common_SourceData_ClimateZones_Data(), Table_SourceData_ClimateZones[[#Headers],[Climate zone]], 0)</f>
        <v>1.0009999999999999</v>
      </c>
      <c r="S94" s="19" cm="1">
        <f t="array" ref="S94">Common_InputFunctions.Utility_DisplayArrayInTable(Common_SourceData.Common_SourceData_ClimateZones_Data(), Table_SourceData_ClimateZones[[#Headers],[Climate zone]], 0)</f>
        <v>999999</v>
      </c>
      <c r="T94" s="19"/>
    </row>
    <row r="95" spans="1:20" ht="20.100000000000001" customHeight="1" x14ac:dyDescent="0.2">
      <c r="A95"/>
      <c r="D95" s="19" t="str" cm="1">
        <f t="array" ref="D95">Common_InputFunctions.Utility_DisplayArrayInTable(Common_SourceData.Common_SourceData_ClimateZones_Data(), Table_SourceData_ClimateZones[[#Headers],[Climate zone]], 0)</f>
        <v>Warm temperate dry</v>
      </c>
      <c r="E95" s="19" t="str" cm="1">
        <f t="array" ref="E95">Common_InputFunctions.Utility_DisplayArrayInTable(Common_SourceData.Common_SourceData_ClimateZones_Data(), Table_SourceData_ClimateZones[[#Headers],[Climate zone]], 0)</f>
        <v>&gt; 10 C</v>
      </c>
      <c r="F95" s="19" t="str" cm="1">
        <f t="array" ref="F95">Common_InputFunctions.Utility_DisplayArrayInTable(Common_SourceData.Common_SourceData_ClimateZones_Data(), Table_SourceData_ClimateZones[[#Headers],[Climate zone]], 0)</f>
        <v>Any</v>
      </c>
      <c r="G95" s="19" t="str" cm="1">
        <f t="array" ref="G95">Common_InputFunctions.Utility_DisplayArrayInTable(Common_SourceData.Common_SourceData_ClimateZones_Data(), Table_SourceData_ClimateZones[[#Headers],[Climate zone]], 0)</f>
        <v>Any</v>
      </c>
      <c r="H95" s="19" t="str" cm="1">
        <f t="array" ref="H95">Common_InputFunctions.Utility_DisplayArrayInTable(Common_SourceData.Common_SourceData_ClimateZones_Data(), Table_SourceData_ClimateZones[[#Headers],[Climate zone]], 0)</f>
        <v>Any</v>
      </c>
      <c r="I95" s="19" t="str" cm="1">
        <f t="array" ref="I95">Common_InputFunctions.Utility_DisplayArrayInTable(Common_SourceData.Common_SourceData_ClimateZones_Data(), Table_SourceData_ClimateZones[[#Headers],[Climate zone]], 0)</f>
        <v>≤ 1</v>
      </c>
      <c r="J95" s="19" cm="1">
        <f t="array" ref="J95">Common_InputFunctions.Utility_DisplayArrayInTable(Common_SourceData.Common_SourceData_ClimateZones_Data(), Table_SourceData_ClimateZones[[#Headers],[Climate zone]], 0)</f>
        <v>10.000999999999999</v>
      </c>
      <c r="K95" s="19" cm="1">
        <f t="array" ref="K95">Common_InputFunctions.Utility_DisplayArrayInTable(Common_SourceData.Common_SourceData_ClimateZones_Data(), Table_SourceData_ClimateZones[[#Headers],[Climate zone]], 0)</f>
        <v>999999</v>
      </c>
      <c r="L95" s="19" cm="1">
        <f t="array" ref="L95">Common_InputFunctions.Utility_DisplayArrayInTable(Common_SourceData.Common_SourceData_ClimateZones_Data(), Table_SourceData_ClimateZones[[#Headers],[Climate zone]], 0)</f>
        <v>-999999</v>
      </c>
      <c r="M95" s="19" cm="1">
        <f t="array" ref="M95">Common_InputFunctions.Utility_DisplayArrayInTable(Common_SourceData.Common_SourceData_ClimateZones_Data(), Table_SourceData_ClimateZones[[#Headers],[Climate zone]], 0)</f>
        <v>999999</v>
      </c>
      <c r="N95" s="19" cm="1">
        <f t="array" ref="N95">Common_InputFunctions.Utility_DisplayArrayInTable(Common_SourceData.Common_SourceData_ClimateZones_Data(), Table_SourceData_ClimateZones[[#Headers],[Climate zone]], 0)</f>
        <v>-999999</v>
      </c>
      <c r="O95" s="19" cm="1">
        <f t="array" ref="O95">Common_InputFunctions.Utility_DisplayArrayInTable(Common_SourceData.Common_SourceData_ClimateZones_Data(), Table_SourceData_ClimateZones[[#Headers],[Climate zone]], 0)</f>
        <v>999999</v>
      </c>
      <c r="P95" s="19" cm="1">
        <f t="array" ref="P95">Common_InputFunctions.Utility_DisplayArrayInTable(Common_SourceData.Common_SourceData_ClimateZones_Data(), Table_SourceData_ClimateZones[[#Headers],[Climate zone]], 0)</f>
        <v>-999999</v>
      </c>
      <c r="Q95" s="19" cm="1">
        <f t="array" ref="Q95">Common_InputFunctions.Utility_DisplayArrayInTable(Common_SourceData.Common_SourceData_ClimateZones_Data(), Table_SourceData_ClimateZones[[#Headers],[Climate zone]], 0)</f>
        <v>999999</v>
      </c>
      <c r="R95" s="19" cm="1">
        <f t="array" ref="R95">Common_InputFunctions.Utility_DisplayArrayInTable(Common_SourceData.Common_SourceData_ClimateZones_Data(), Table_SourceData_ClimateZones[[#Headers],[Climate zone]], 0)</f>
        <v>-999999</v>
      </c>
      <c r="S95" s="19" cm="1">
        <f t="array" ref="S95">Common_InputFunctions.Utility_DisplayArrayInTable(Common_SourceData.Common_SourceData_ClimateZones_Data(), Table_SourceData_ClimateZones[[#Headers],[Climate zone]], 0)</f>
        <v>1</v>
      </c>
      <c r="T95" s="19"/>
    </row>
    <row r="96" spans="1:20" ht="20.100000000000001" customHeight="1" x14ac:dyDescent="0.2">
      <c r="A96"/>
      <c r="D96" s="19" t="str" cm="1">
        <f t="array" ref="D96">Common_InputFunctions.Utility_DisplayArrayInTable(Common_SourceData.Common_SourceData_ClimateZones_Data(), Table_SourceData_ClimateZones[[#Headers],[Climate zone]], 0)</f>
        <v>Cool temperate moist</v>
      </c>
      <c r="E96" s="19" t="str" cm="1">
        <f t="array" ref="E96">Common_InputFunctions.Utility_DisplayArrayInTable(Common_SourceData.Common_SourceData_ClimateZones_Data(), Table_SourceData_ClimateZones[[#Headers],[Climate zone]], 0)</f>
        <v>&gt; 0 C - ≤ 10 C</v>
      </c>
      <c r="F96" s="19" t="str" cm="1">
        <f t="array" ref="F96">Common_InputFunctions.Utility_DisplayArrayInTable(Common_SourceData.Common_SourceData_ClimateZones_Data(), Table_SourceData_ClimateZones[[#Headers],[Climate zone]], 0)</f>
        <v>Any</v>
      </c>
      <c r="G96" s="19" t="str" cm="1">
        <f t="array" ref="G96">Common_InputFunctions.Utility_DisplayArrayInTable(Common_SourceData.Common_SourceData_ClimateZones_Data(), Table_SourceData_ClimateZones[[#Headers],[Climate zone]], 0)</f>
        <v>Any</v>
      </c>
      <c r="H96" s="19" t="str" cm="1">
        <f t="array" ref="H96">Common_InputFunctions.Utility_DisplayArrayInTable(Common_SourceData.Common_SourceData_ClimateZones_Data(), Table_SourceData_ClimateZones[[#Headers],[Climate zone]], 0)</f>
        <v>Any</v>
      </c>
      <c r="I96" s="19" t="str" cm="1">
        <f t="array" ref="I96">Common_InputFunctions.Utility_DisplayArrayInTable(Common_SourceData.Common_SourceData_ClimateZones_Data(), Table_SourceData_ClimateZones[[#Headers],[Climate zone]], 0)</f>
        <v>&gt; 1</v>
      </c>
      <c r="J96" s="19" cm="1">
        <f t="array" ref="J96">Common_InputFunctions.Utility_DisplayArrayInTable(Common_SourceData.Common_SourceData_ClimateZones_Data(), Table_SourceData_ClimateZones[[#Headers],[Climate zone]], 0)</f>
        <v>-999999</v>
      </c>
      <c r="K96" s="19" cm="1">
        <f t="array" ref="K96">Common_InputFunctions.Utility_DisplayArrayInTable(Common_SourceData.Common_SourceData_ClimateZones_Data(), Table_SourceData_ClimateZones[[#Headers],[Climate zone]], 0)</f>
        <v>10</v>
      </c>
      <c r="L96" s="19" cm="1">
        <f t="array" ref="L96">Common_InputFunctions.Utility_DisplayArrayInTable(Common_SourceData.Common_SourceData_ClimateZones_Data(), Table_SourceData_ClimateZones[[#Headers],[Climate zone]], 0)</f>
        <v>-999999</v>
      </c>
      <c r="M96" s="19" cm="1">
        <f t="array" ref="M96">Common_InputFunctions.Utility_DisplayArrayInTable(Common_SourceData.Common_SourceData_ClimateZones_Data(), Table_SourceData_ClimateZones[[#Headers],[Climate zone]], 0)</f>
        <v>999999</v>
      </c>
      <c r="N96" s="19" cm="1">
        <f t="array" ref="N96">Common_InputFunctions.Utility_DisplayArrayInTable(Common_SourceData.Common_SourceData_ClimateZones_Data(), Table_SourceData_ClimateZones[[#Headers],[Climate zone]], 0)</f>
        <v>-999999</v>
      </c>
      <c r="O96" s="19" cm="1">
        <f t="array" ref="O96">Common_InputFunctions.Utility_DisplayArrayInTable(Common_SourceData.Common_SourceData_ClimateZones_Data(), Table_SourceData_ClimateZones[[#Headers],[Climate zone]], 0)</f>
        <v>999999</v>
      </c>
      <c r="P96" s="19" cm="1">
        <f t="array" ref="P96">Common_InputFunctions.Utility_DisplayArrayInTable(Common_SourceData.Common_SourceData_ClimateZones_Data(), Table_SourceData_ClimateZones[[#Headers],[Climate zone]], 0)</f>
        <v>-999999</v>
      </c>
      <c r="Q96" s="19" cm="1">
        <f t="array" ref="Q96">Common_InputFunctions.Utility_DisplayArrayInTable(Common_SourceData.Common_SourceData_ClimateZones_Data(), Table_SourceData_ClimateZones[[#Headers],[Climate zone]], 0)</f>
        <v>999999</v>
      </c>
      <c r="R96" s="19" cm="1">
        <f t="array" ref="R96">Common_InputFunctions.Utility_DisplayArrayInTable(Common_SourceData.Common_SourceData_ClimateZones_Data(), Table_SourceData_ClimateZones[[#Headers],[Climate zone]], 0)</f>
        <v>1.0009999999999999</v>
      </c>
      <c r="S96" s="19" cm="1">
        <f t="array" ref="S96">Common_InputFunctions.Utility_DisplayArrayInTable(Common_SourceData.Common_SourceData_ClimateZones_Data(), Table_SourceData_ClimateZones[[#Headers],[Climate zone]], 0)</f>
        <v>999999</v>
      </c>
      <c r="T96" s="19"/>
    </row>
    <row r="97" spans="1:20" ht="20.100000000000001" customHeight="1" x14ac:dyDescent="0.2">
      <c r="A97"/>
      <c r="D97" s="19" t="str" cm="1">
        <f t="array" ref="D97">Common_InputFunctions.Utility_DisplayArrayInTable(Common_SourceData.Common_SourceData_ClimateZones_Data(), Table_SourceData_ClimateZones[[#Headers],[Climate zone]], 0)</f>
        <v>Cool temperate dry</v>
      </c>
      <c r="E97" s="19" t="str" cm="1">
        <f t="array" ref="E97">Common_InputFunctions.Utility_DisplayArrayInTable(Common_SourceData.Common_SourceData_ClimateZones_Data(), Table_SourceData_ClimateZones[[#Headers],[Climate zone]], 0)</f>
        <v>&gt; 0 C - ≤ 10 C</v>
      </c>
      <c r="F97" s="19" t="str" cm="1">
        <f t="array" ref="F97">Common_InputFunctions.Utility_DisplayArrayInTable(Common_SourceData.Common_SourceData_ClimateZones_Data(), Table_SourceData_ClimateZones[[#Headers],[Climate zone]], 0)</f>
        <v>Any</v>
      </c>
      <c r="G97" s="19" t="str" cm="1">
        <f t="array" ref="G97">Common_InputFunctions.Utility_DisplayArrayInTable(Common_SourceData.Common_SourceData_ClimateZones_Data(), Table_SourceData_ClimateZones[[#Headers],[Climate zone]], 0)</f>
        <v>Any</v>
      </c>
      <c r="H97" s="19" t="str" cm="1">
        <f t="array" ref="H97">Common_InputFunctions.Utility_DisplayArrayInTable(Common_SourceData.Common_SourceData_ClimateZones_Data(), Table_SourceData_ClimateZones[[#Headers],[Climate zone]], 0)</f>
        <v>Any</v>
      </c>
      <c r="I97" s="19" t="str" cm="1">
        <f t="array" ref="I97">Common_InputFunctions.Utility_DisplayArrayInTable(Common_SourceData.Common_SourceData_ClimateZones_Data(), Table_SourceData_ClimateZones[[#Headers],[Climate zone]], 0)</f>
        <v>≤ 1</v>
      </c>
      <c r="J97" s="19" cm="1">
        <f t="array" ref="J97">Common_InputFunctions.Utility_DisplayArrayInTable(Common_SourceData.Common_SourceData_ClimateZones_Data(), Table_SourceData_ClimateZones[[#Headers],[Climate zone]], 0)</f>
        <v>-999999</v>
      </c>
      <c r="K97" s="19" cm="1">
        <f t="array" ref="K97">Common_InputFunctions.Utility_DisplayArrayInTable(Common_SourceData.Common_SourceData_ClimateZones_Data(), Table_SourceData_ClimateZones[[#Headers],[Climate zone]], 0)</f>
        <v>10</v>
      </c>
      <c r="L97" s="19" cm="1">
        <f t="array" ref="L97">Common_InputFunctions.Utility_DisplayArrayInTable(Common_SourceData.Common_SourceData_ClimateZones_Data(), Table_SourceData_ClimateZones[[#Headers],[Climate zone]], 0)</f>
        <v>-999999</v>
      </c>
      <c r="M97" s="19" cm="1">
        <f t="array" ref="M97">Common_InputFunctions.Utility_DisplayArrayInTable(Common_SourceData.Common_SourceData_ClimateZones_Data(), Table_SourceData_ClimateZones[[#Headers],[Climate zone]], 0)</f>
        <v>999999</v>
      </c>
      <c r="N97" s="19" cm="1">
        <f t="array" ref="N97">Common_InputFunctions.Utility_DisplayArrayInTable(Common_SourceData.Common_SourceData_ClimateZones_Data(), Table_SourceData_ClimateZones[[#Headers],[Climate zone]], 0)</f>
        <v>-999999</v>
      </c>
      <c r="O97" s="19" cm="1">
        <f t="array" ref="O97">Common_InputFunctions.Utility_DisplayArrayInTable(Common_SourceData.Common_SourceData_ClimateZones_Data(), Table_SourceData_ClimateZones[[#Headers],[Climate zone]], 0)</f>
        <v>999999</v>
      </c>
      <c r="P97" s="19" cm="1">
        <f t="array" ref="P97">Common_InputFunctions.Utility_DisplayArrayInTable(Common_SourceData.Common_SourceData_ClimateZones_Data(), Table_SourceData_ClimateZones[[#Headers],[Climate zone]], 0)</f>
        <v>-999999</v>
      </c>
      <c r="Q97" s="19" cm="1">
        <f t="array" ref="Q97">Common_InputFunctions.Utility_DisplayArrayInTable(Common_SourceData.Common_SourceData_ClimateZones_Data(), Table_SourceData_ClimateZones[[#Headers],[Climate zone]], 0)</f>
        <v>999999</v>
      </c>
      <c r="R97" s="19" cm="1">
        <f t="array" ref="R97">Common_InputFunctions.Utility_DisplayArrayInTable(Common_SourceData.Common_SourceData_ClimateZones_Data(), Table_SourceData_ClimateZones[[#Headers],[Climate zone]], 0)</f>
        <v>-999999</v>
      </c>
      <c r="S97" s="19" cm="1">
        <f t="array" ref="S97">Common_InputFunctions.Utility_DisplayArrayInTable(Common_SourceData.Common_SourceData_ClimateZones_Data(), Table_SourceData_ClimateZones[[#Headers],[Climate zone]], 0)</f>
        <v>1</v>
      </c>
      <c r="T97" s="19"/>
    </row>
    <row r="98" spans="1:20" ht="20.100000000000001" customHeight="1" x14ac:dyDescent="0.2">
      <c r="A98" s="79" t="str">
        <f>HYPERLINK("#A1", "▲ Back to top")</f>
        <v>▲ Back to top</v>
      </c>
    </row>
    <row r="99" spans="1:20" ht="20.100000000000001" customHeight="1" x14ac:dyDescent="0.2">
      <c r="A99"/>
      <c r="D99" s="9" t="str" cm="1">
        <f t="array" ref="D99:D102">Common_SourceData.Common_SourceData_ClimateZones_Appendices()</f>
        <v>Note:</v>
      </c>
    </row>
    <row r="100" spans="1:20" ht="20.100000000000001" customHeight="1" x14ac:dyDescent="0.2">
      <c r="A100"/>
      <c r="D100" s="9" t="str">
        <v>MAT = mean annual temperature</v>
      </c>
    </row>
    <row r="101" spans="1:20" ht="20.100000000000001" customHeight="1" x14ac:dyDescent="0.2">
      <c r="A101"/>
      <c r="D101" s="9" t="str">
        <v>MAP = mean annual precipitation</v>
      </c>
    </row>
    <row r="102" spans="1:20" ht="20.100000000000001" customHeight="1" x14ac:dyDescent="0.2">
      <c r="A102"/>
      <c r="D102" s="9" t="str">
        <v>PET = potential evapotranspiration</v>
      </c>
    </row>
    <row r="103" spans="1:20" ht="20.100000000000001" customHeight="1" x14ac:dyDescent="0.2">
      <c r="A103"/>
      <c r="D103" s="9"/>
    </row>
    <row r="104" spans="1:20" ht="20.100000000000001" customHeight="1" x14ac:dyDescent="0.2">
      <c r="A104"/>
    </row>
    <row r="105" spans="1:20" ht="20.100000000000001" customHeight="1" x14ac:dyDescent="0.2">
      <c r="A105"/>
      <c r="D105" s="2" t="str" cm="1">
        <f t="array" ref="D105">Common_SourceData.Common_SourceData_TemperatureZones_Title()</f>
        <v>VEERG Australian temperature zones</v>
      </c>
    </row>
    <row r="106" spans="1:20" ht="20.100000000000001" customHeight="1" x14ac:dyDescent="0.2">
      <c r="A106"/>
      <c r="D106" s="17" t="str" cm="1">
        <f t="array" ref="D106">Common_SourceData.Common_SourceData_TemperatureZones_Source()</f>
        <v>VEERG 2026: Table 1.3: Climate and Rainfall zone classifications and definitions</v>
      </c>
    </row>
    <row r="107" spans="1:20" ht="20.100000000000001" customHeight="1" x14ac:dyDescent="0.2">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19" t="s">
        <v>48</v>
      </c>
      <c r="E109" s="19" t="s">
        <v>33</v>
      </c>
      <c r="F109" s="19" t="s">
        <v>49</v>
      </c>
      <c r="G109" s="19" t="s">
        <v>50</v>
      </c>
    </row>
    <row r="110" spans="1:20" ht="20.100000000000001" customHeight="1" x14ac:dyDescent="0.2">
      <c r="A110"/>
      <c r="D110" s="19" t="str" cm="1">
        <f t="array" ref="D110">Common_InputFunctions.Utility_DisplayArrayInTable(Common_SourceData.Common_SourceData_TemperatureZones_Data(),Table_SourceData_TemperatureZones[[#Headers],[Temperature Zone]],0)</f>
        <v>Warm</v>
      </c>
      <c r="E110" s="19" t="str" cm="1">
        <f t="array" ref="E110">Common_InputFunctions.Utility_DisplayArrayInTable(Common_SourceData.Common_SourceData_TemperatureZones_Data(),Table_SourceData_TemperatureZones[[#Headers],[Temperature Zone]],0)</f>
        <v>≥ 26 C</v>
      </c>
      <c r="F110" s="19" cm="1">
        <f t="array" ref="F110">Common_InputFunctions.Utility_DisplayArrayInTable(Common_SourceData.Common_SourceData_TemperatureZones_Data(),Table_SourceData_TemperatureZones[[#Headers],[Temperature Zone]],0)</f>
        <v>26</v>
      </c>
      <c r="G110" s="19" cm="1">
        <f t="array" ref="G110">Common_InputFunctions.Utility_DisplayArrayInTable(Common_SourceData.Common_SourceData_TemperatureZones_Data(),Table_SourceData_TemperatureZones[[#Headers],[Temperature Zone]],0)</f>
        <v>999999</v>
      </c>
    </row>
    <row r="111" spans="1:20" ht="20.100000000000001" customHeight="1" x14ac:dyDescent="0.2">
      <c r="A111"/>
      <c r="D111" s="19" t="str" cm="1">
        <f t="array" ref="D111">Common_InputFunctions.Utility_DisplayArrayInTable(Common_SourceData.Common_SourceData_TemperatureZones_Data(),Table_SourceData_TemperatureZones[[#Headers],[Temperature Zone]],0)</f>
        <v>Temperate</v>
      </c>
      <c r="E111" s="19" t="str" cm="1">
        <f t="array" ref="E111">Common_InputFunctions.Utility_DisplayArrayInTable(Common_SourceData.Common_SourceData_TemperatureZones_Data(),Table_SourceData_TemperatureZones[[#Headers],[Temperature Zone]],0)</f>
        <v>15 - 25 C</v>
      </c>
      <c r="F111" s="19" cm="1">
        <f t="array" ref="F111">Common_InputFunctions.Utility_DisplayArrayInTable(Common_SourceData.Common_SourceData_TemperatureZones_Data(),Table_SourceData_TemperatureZones[[#Headers],[Temperature Zone]],0)</f>
        <v>15</v>
      </c>
      <c r="G111" s="19" cm="1">
        <f t="array" ref="G111">Common_InputFunctions.Utility_DisplayArrayInTable(Common_SourceData.Common_SourceData_TemperatureZones_Data(),Table_SourceData_TemperatureZones[[#Headers],[Temperature Zone]],0)</f>
        <v>25.998999999999999</v>
      </c>
    </row>
    <row r="112" spans="1:20" ht="20.100000000000001" customHeight="1" x14ac:dyDescent="0.2">
      <c r="A112"/>
      <c r="D112" s="19" t="str" cm="1">
        <f t="array" ref="D112">Common_InputFunctions.Utility_DisplayArrayInTable(Common_SourceData.Common_SourceData_TemperatureZones_Data(),Table_SourceData_TemperatureZones[[#Headers],[Temperature Zone]],0)</f>
        <v>Cool</v>
      </c>
      <c r="E112" s="19" t="str" cm="1">
        <f t="array" ref="E112">Common_InputFunctions.Utility_DisplayArrayInTable(Common_SourceData.Common_SourceData_TemperatureZones_Data(),Table_SourceData_TemperatureZones[[#Headers],[Temperature Zone]],0)</f>
        <v>≤ 14 C</v>
      </c>
      <c r="F112" s="19" cm="1">
        <f t="array" ref="F112">Common_InputFunctions.Utility_DisplayArrayInTable(Common_SourceData.Common_SourceData_TemperatureZones_Data(),Table_SourceData_TemperatureZones[[#Headers],[Temperature Zone]],0)</f>
        <v>-999999</v>
      </c>
      <c r="G112" s="19" cm="1">
        <f t="array" ref="G112">Common_InputFunctions.Utility_DisplayArrayInTable(Common_SourceData.Common_SourceData_TemperatureZones_Data(),Table_SourceData_TemperatureZones[[#Headers],[Temperature Zone]],0)</f>
        <v>14.999000000000001</v>
      </c>
    </row>
    <row r="113" spans="1:66" ht="20.100000000000001" customHeight="1" x14ac:dyDescent="0.2">
      <c r="A113"/>
    </row>
    <row r="114" spans="1:66" ht="20.100000000000001" customHeight="1" x14ac:dyDescent="0.2">
      <c r="A114"/>
    </row>
    <row r="115" spans="1:66" ht="20.100000000000001" customHeight="1" x14ac:dyDescent="0.2">
      <c r="A115"/>
      <c r="D115" s="2" t="str" cm="1">
        <f t="array" ref="D115">Common_SourceData.Common_SourceData_RainfallZones_Title()</f>
        <v>VEERG Australian rainfall zones</v>
      </c>
      <c r="BN115" s="21"/>
    </row>
    <row r="116" spans="1:66" ht="20.100000000000001" customHeight="1" x14ac:dyDescent="0.2">
      <c r="A116"/>
      <c r="D116" s="17" t="str" cm="1">
        <f t="array" ref="D116">Common_SourceData.Common_SourceData_RainfallZones_Source()</f>
        <v>VEERG 2026: Table 1.3: Climate and Rainfall zone classifications and definitions</v>
      </c>
      <c r="BN116" s="21"/>
    </row>
    <row r="117" spans="1:66" ht="20.100000000000001" customHeight="1" x14ac:dyDescent="0.2">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
      <c r="A118"/>
      <c r="BN118" s="21"/>
    </row>
    <row r="119" spans="1:66" ht="20.100000000000001" customHeight="1" x14ac:dyDescent="0.2">
      <c r="A119"/>
      <c r="D119" s="19" t="s">
        <v>51</v>
      </c>
      <c r="E119" s="19" t="s">
        <v>52</v>
      </c>
      <c r="F119" s="19" t="s">
        <v>40</v>
      </c>
      <c r="G119" s="19" t="s">
        <v>41</v>
      </c>
      <c r="BN119" s="21"/>
    </row>
    <row r="120" spans="1:66" ht="20.100000000000001" customHeight="1" x14ac:dyDescent="0.2">
      <c r="A120"/>
      <c r="D120" s="19" t="str" cm="1">
        <f t="array" ref="D120">Common_InputFunctions.Utility_DisplayArrayInTable(Common_SourceData.Common_SourceData_RainfallZones_Data(),Table_SourceData_RainfallZones[[#Headers],[Rainfall Zone]],0)</f>
        <v>High rainfall</v>
      </c>
      <c r="E120" s="19" t="str" cm="1">
        <f t="array" ref="E120">Common_InputFunctions.Utility_DisplayArrayInTable(Common_SourceData.Common_SourceData_RainfallZones_Data(),Table_SourceData_RainfallZones[[#Headers],[Rainfall Zone]],0)</f>
        <v>Annual rainfall &gt; 600mm</v>
      </c>
      <c r="F120" s="19" cm="1">
        <f t="array" ref="F120">Common_InputFunctions.Utility_DisplayArrayInTable(Common_SourceData.Common_SourceData_RainfallZones_Data(),Table_SourceData_RainfallZones[[#Headers],[Rainfall Zone]],0)</f>
        <v>600.00099999999998</v>
      </c>
      <c r="G120" s="19" cm="1">
        <f t="array" ref="G120">Common_InputFunctions.Utility_DisplayArrayInTable(Common_SourceData.Common_SourceData_RainfallZones_Data(),Table_SourceData_RainfallZones[[#Headers],[Rainfall Zone]],0)</f>
        <v>999999</v>
      </c>
      <c r="BN120" s="21"/>
    </row>
    <row r="121" spans="1:66" ht="20.100000000000001" customHeight="1" x14ac:dyDescent="0.2">
      <c r="A121"/>
      <c r="D121" s="19" t="str" cm="1">
        <f t="array" ref="D121">Common_InputFunctions.Utility_DisplayArrayInTable(Common_SourceData.Common_SourceData_RainfallZones_Data(),Table_SourceData_RainfallZones[[#Headers],[Rainfall Zone]],0)</f>
        <v>Low rainfall</v>
      </c>
      <c r="E121" s="19" t="str" cm="1">
        <f t="array" ref="E121">Common_InputFunctions.Utility_DisplayArrayInTable(Common_SourceData.Common_SourceData_RainfallZones_Data(),Table_SourceData_RainfallZones[[#Headers],[Rainfall Zone]],0)</f>
        <v>Annual rainfall ≤ 600mm</v>
      </c>
      <c r="F121" s="19" cm="1">
        <f t="array" ref="F121">Common_InputFunctions.Utility_DisplayArrayInTable(Common_SourceData.Common_SourceData_RainfallZones_Data(),Table_SourceData_RainfallZones[[#Headers],[Rainfall Zone]],0)</f>
        <v>-999999</v>
      </c>
      <c r="G121" s="19" cm="1">
        <f t="array" ref="G121">Common_InputFunctions.Utility_DisplayArrayInTable(Common_SourceData.Common_SourceData_RainfallZones_Data(),Table_SourceData_RainfallZones[[#Headers],[Rainfall Zone]],0)</f>
        <v>600</v>
      </c>
      <c r="BN121" s="21"/>
    </row>
    <row r="122" spans="1:66" ht="20.100000000000001" customHeight="1" x14ac:dyDescent="0.2">
      <c r="A122"/>
      <c r="BN122" s="21"/>
    </row>
    <row r="123" spans="1:66" ht="20.100000000000001" customHeight="1" x14ac:dyDescent="0.2">
      <c r="A123"/>
    </row>
    <row r="124" spans="1:66" ht="20.100000000000001" customHeight="1" x14ac:dyDescent="0.2">
      <c r="A124"/>
      <c r="D124" s="2" t="str" cm="1">
        <f t="array" ref="D124">Common_SourceData.Common_SourceData_LeachingZones_Title()</f>
        <v>VEERG Australian leaching zones</v>
      </c>
    </row>
    <row r="125" spans="1:66" ht="20.100000000000001" customHeight="1" x14ac:dyDescent="0.2">
      <c r="A125"/>
      <c r="D125" s="17" t="str" cm="1">
        <f t="array" ref="D125">Common_SourceData.Common_SourceData_LeachingZones_Source()</f>
        <v>VEERG 2026: Table 1.3: Climate and Rainfall zone classifications and definitions</v>
      </c>
    </row>
    <row r="126" spans="1:66" ht="20.100000000000001" customHeight="1" x14ac:dyDescent="0.2">
      <c r="A126"/>
    </row>
    <row r="127" spans="1:66" ht="20.100000000000001" customHeight="1" x14ac:dyDescent="0.2">
      <c r="A127"/>
      <c r="D127" s="19" t="s">
        <v>53</v>
      </c>
      <c r="E127" s="19" t="s">
        <v>54</v>
      </c>
    </row>
    <row r="128" spans="1:66" ht="20.100000000000001" customHeight="1" x14ac:dyDescent="0.2">
      <c r="A128" s="79" t="str">
        <f>HYPERLINK("#A1", "▲ Back to top")</f>
        <v>▲ Back to top</v>
      </c>
      <c r="D128" s="19" t="str" cm="1">
        <f t="array" ref="D128">Common_InputFunctions.Utility_DisplayArrayInTable(Common_SourceData.Common_SourceData_LeachingZones_Data(), Table_SourceData_LeachingZones[[#Headers],[Leaching Zone]], 0)</f>
        <v>Leaching occurs</v>
      </c>
      <c r="E128" s="1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
      <c r="A129"/>
      <c r="D129" s="19" t="str" cm="1">
        <f t="array" ref="D129">Common_InputFunctions.Utility_DisplayArrayInTable(Common_SourceData.Common_SourceData_LeachingZones_Data(), Table_SourceData_LeachingZones[[#Headers],[Leaching Zone]], 0)</f>
        <v>Leaching does not occur</v>
      </c>
      <c r="E129" s="1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
      <c r="A130"/>
    </row>
    <row r="131" spans="1:77" ht="20.100000000000001" customHeight="1" x14ac:dyDescent="0.2">
      <c r="A131"/>
    </row>
    <row r="132" spans="1:77" ht="20.100000000000001" customHeight="1" x14ac:dyDescent="0.2">
      <c r="A132"/>
      <c r="D132" s="2" t="str" cm="1">
        <f t="array" ref="D132">Common_SourceData.Common_SourceData_FracWET_Title()</f>
        <v>Fraction of N that is available for leaching and runoff</v>
      </c>
      <c r="E132" s="8"/>
    </row>
    <row r="133" spans="1:77" ht="20.100000000000001" customHeight="1" x14ac:dyDescent="0.2">
      <c r="A133"/>
      <c r="D133" s="17" t="str" cm="1">
        <f t="array" ref="D133">Common_SourceData.Common_SourceData_FracWET_Source()</f>
        <v>VEERG 2026:5.5.2.3 Constant Parameters</v>
      </c>
      <c r="E133" s="8"/>
    </row>
    <row r="134" spans="1:77" ht="20.100000000000001" customHeight="1" x14ac:dyDescent="0.2">
      <c r="A134"/>
      <c r="D134" t="s">
        <v>55</v>
      </c>
      <c r="E134" t="s">
        <v>56</v>
      </c>
    </row>
    <row r="135" spans="1:77" ht="20.100000000000001" customHeight="1" x14ac:dyDescent="0.2">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
      <c r="A136"/>
      <c r="D136" s="1" t="str" cm="1">
        <f t="array" ref="D136">Common_InputFunctions.Utility_DisplayArrayInTable(Common_SourceData.Common_SourceData_FracWET_Data(),Table_SourceData_FracWET[[#Headers],[Is in leaching zone]],0)</f>
        <v>No - not in leaching zone</v>
      </c>
      <c r="E136" s="19" cm="1">
        <f t="array" ref="E136">Common_InputFunctions.Utility_DisplayArrayInTable(Common_SourceData.Common_SourceData_FracWET_Data(),Table_SourceData_FracWET[[#Headers],[Is in leaching zone]],0)</f>
        <v>0</v>
      </c>
    </row>
    <row r="137" spans="1:77" ht="20.100000000000001" customHeight="1" x14ac:dyDescent="0.2">
      <c r="A137"/>
    </row>
    <row r="138" spans="1:77" ht="20.100000000000001" customHeight="1" x14ac:dyDescent="0.2">
      <c r="A138"/>
      <c r="BN138" s="21"/>
      <c r="BO138" s="21"/>
      <c r="BP138" s="21"/>
      <c r="BQ138" s="21"/>
      <c r="BR138" s="21"/>
      <c r="BS138" s="21"/>
      <c r="BT138" s="21"/>
      <c r="BU138" s="21"/>
      <c r="BV138" s="21"/>
      <c r="BW138" s="21"/>
      <c r="BX138" s="21"/>
      <c r="BY138" s="21"/>
    </row>
    <row r="139" spans="1:77" ht="20.100000000000001" customHeight="1" x14ac:dyDescent="0.2">
      <c r="A139"/>
      <c r="D139" s="2" t="str" cm="1">
        <f t="array" ref="D139">Common_SourceData.Common_SourceData_FracWETIrrigation_Title()</f>
        <v>FracWET for irrigation types</v>
      </c>
      <c r="BN139" s="21"/>
      <c r="BO139" s="21"/>
      <c r="BP139" s="21"/>
      <c r="BQ139" s="21"/>
      <c r="BR139" s="21"/>
      <c r="BS139" s="21"/>
      <c r="BT139" s="21"/>
      <c r="BU139" s="21"/>
      <c r="BV139" s="21"/>
      <c r="BW139" s="21"/>
      <c r="BX139" s="21"/>
      <c r="BY139" s="21"/>
    </row>
    <row r="140" spans="1:77" ht="20.100000000000001" customHeight="1" x14ac:dyDescent="0.2">
      <c r="A140"/>
      <c r="D140" s="17" t="str" cm="1">
        <f t="array" ref="D140">Common_SourceData.Common_SourceData_FracWETIrrigation_Source()</f>
        <v>VEERG 2026: Chapter 1, section 1.8.2 Leaching, climate and rainfall zones</v>
      </c>
      <c r="BN140" s="21"/>
      <c r="BO140" s="21"/>
      <c r="BP140" s="21"/>
      <c r="BQ140" s="21"/>
      <c r="BR140" s="21"/>
      <c r="BS140" s="21"/>
      <c r="BT140" s="21"/>
      <c r="BU140" s="21"/>
      <c r="BV140" s="21"/>
      <c r="BW140" s="21"/>
      <c r="BX140" s="21"/>
      <c r="BY140" s="21"/>
    </row>
    <row r="141" spans="1:77" ht="20.100000000000001" customHeight="1" x14ac:dyDescent="0.2">
      <c r="A141"/>
      <c r="D141" s="25" t="str" cm="1">
        <f t="array" ref="D141">Common_SourceData.Common_SourceData_FracWETIrrigation_Variation()</f>
        <v>VARIATION FROM SOURCE DATA: Table created based on VEERG text 'Areas are subject to leaching (i.e., in the leaching zone) when... the land is irrigated (except drip irrigation).'</v>
      </c>
      <c r="BN141" s="21"/>
    </row>
    <row r="142" spans="1:77" ht="20.100000000000001" customHeight="1" x14ac:dyDescent="0.2">
      <c r="A142"/>
      <c r="D142" s="19" t="s">
        <v>57</v>
      </c>
      <c r="E142" s="19" t="s">
        <v>56</v>
      </c>
      <c r="BN142" s="21"/>
    </row>
    <row r="143" spans="1:77" ht="20.100000000000001" customHeight="1" x14ac:dyDescent="0.2">
      <c r="A143"/>
      <c r="D143" s="19" t="str" cm="1">
        <f t="array" ref="D143">Common_InputFunctions.Utility_DisplayArrayInTable(Common_SourceData.Common_SourceData_FracWETIrrigation_Data(), Table_SourceData_FracWETIrrigation[[#Headers],[Irrigation type i]], 0)</f>
        <v>Not irrigated</v>
      </c>
      <c r="E143" s="19" cm="1">
        <f t="array" ref="E143">Common_InputFunctions.Utility_DisplayArrayInTable(Common_SourceData.Common_SourceData_FracWETIrrigation_Data(), Table_SourceData_FracWETIrrigation[[#Headers],[Irrigation type i]], 0)</f>
        <v>0</v>
      </c>
      <c r="BN143" s="21"/>
    </row>
    <row r="144" spans="1:77" ht="20.100000000000001" customHeight="1" x14ac:dyDescent="0.2">
      <c r="A144"/>
      <c r="D144" s="1" t="str" cm="1">
        <f t="array" ref="D144">Common_InputFunctions.Utility_DisplayArrayInTable(Common_SourceData.Common_SourceData_FracWETIrrigation_Data(), Table_SourceData_FracWETIrrigation[[#Headers],[Irrigation type i]], 0)</f>
        <v>Drip irrigation</v>
      </c>
      <c r="E144" s="19" cm="1">
        <f t="array" ref="E144">Common_InputFunctions.Utility_DisplayArrayInTable(Common_SourceData.Common_SourceData_FracWETIrrigation_Data(), Table_SourceData_FracWETIrrigation[[#Headers],[Irrigation type i]], 0)</f>
        <v>0</v>
      </c>
      <c r="BN144" s="21"/>
    </row>
    <row r="145" spans="1:66" ht="20.100000000000001" customHeight="1" x14ac:dyDescent="0.2">
      <c r="A145"/>
      <c r="D145" s="1" t="str" cm="1">
        <f t="array" ref="D145">Common_InputFunctions.Utility_DisplayArrayInTable(Common_SourceData.Common_SourceData_FracWETIrrigation_Data(), Table_SourceData_FracWETIrrigation[[#Headers],[Irrigation type i]], 0)</f>
        <v>Sprinkler irrigation</v>
      </c>
      <c r="E145" s="19" cm="1">
        <f t="array" ref="E145">Common_InputFunctions.Utility_DisplayArrayInTable(Common_SourceData.Common_SourceData_FracWETIrrigation_Data(), Table_SourceData_FracWETIrrigation[[#Headers],[Irrigation type i]], 0)</f>
        <v>1</v>
      </c>
      <c r="BN145" s="21"/>
    </row>
    <row r="146" spans="1:66" ht="20.100000000000001" customHeight="1" x14ac:dyDescent="0.2">
      <c r="A146"/>
      <c r="D146" s="1" t="str" cm="1">
        <f t="array" ref="D146">Common_InputFunctions.Utility_DisplayArrayInTable(Common_SourceData.Common_SourceData_FracWETIrrigation_Data(), Table_SourceData_FracWETIrrigation[[#Headers],[Irrigation type i]], 0)</f>
        <v>Surface irrigation</v>
      </c>
      <c r="E146" s="19" cm="1">
        <f t="array" ref="E146">Common_InputFunctions.Utility_DisplayArrayInTable(Common_SourceData.Common_SourceData_FracWETIrrigation_Data(), Table_SourceData_FracWETIrrigation[[#Headers],[Irrigation type i]], 0)</f>
        <v>1</v>
      </c>
      <c r="BN146" s="21"/>
    </row>
    <row r="147" spans="1:66" ht="20.100000000000001" customHeight="1" x14ac:dyDescent="0.2">
      <c r="A147"/>
      <c r="D147" s="1" t="str" cm="1">
        <f t="array" ref="D147">Common_InputFunctions.Utility_DisplayArrayInTable(Common_SourceData.Common_SourceData_FracWETIrrigation_Data(), Table_SourceData_FracWETIrrigation[[#Headers],[Irrigation type i]], 0)</f>
        <v>Other irrigation</v>
      </c>
      <c r="E147" s="19" cm="1">
        <f t="array" ref="E147">Common_InputFunctions.Utility_DisplayArrayInTable(Common_SourceData.Common_SourceData_FracWETIrrigation_Data(), Table_SourceData_FracWETIrrigation[[#Headers],[Irrigation type i]], 0)</f>
        <v>1</v>
      </c>
      <c r="BN147" s="21"/>
    </row>
    <row r="148" spans="1:66" ht="20.100000000000001" customHeight="1" x14ac:dyDescent="0.2">
      <c r="A148"/>
      <c r="BN148" s="21"/>
    </row>
    <row r="149" spans="1:66" ht="20.100000000000001" customHeight="1" x14ac:dyDescent="0.2">
      <c r="A149"/>
      <c r="BN149" s="21"/>
    </row>
    <row r="150" spans="1:66" ht="20.100000000000001" customHeight="1" x14ac:dyDescent="0.2">
      <c r="A150"/>
      <c r="D150" s="2" t="str" cm="1">
        <f t="array" ref="D150">Common_SourceData.Common_SourceData_DataScores_Scope3_Title()</f>
        <v>Australian data scores for scope 3</v>
      </c>
      <c r="BN150" s="21"/>
    </row>
    <row r="151" spans="1:66" ht="20.100000000000001" customHeight="1" x14ac:dyDescent="0.2">
      <c r="A151"/>
      <c r="D151" s="17" t="str" cm="1">
        <f t="array" ref="D151">Common_SourceData.Common_SourceData_DataScores_Scope3_Source()</f>
        <v>VEERG 2026: XXXXXXXX</v>
      </c>
      <c r="BN151" s="21"/>
    </row>
    <row r="152" spans="1:66" ht="20.100000000000001" customHeight="1" x14ac:dyDescent="0.2">
      <c r="A152"/>
      <c r="BN152" s="21"/>
    </row>
    <row r="153" spans="1:66" ht="20.100000000000001" customHeight="1" x14ac:dyDescent="0.2">
      <c r="A153"/>
      <c r="D153" s="19" t="s">
        <v>58</v>
      </c>
      <c r="E153" s="19" t="s">
        <v>59</v>
      </c>
      <c r="BC153" s="24"/>
      <c r="BD153" s="24"/>
      <c r="BE153" s="24"/>
      <c r="BF153" s="24"/>
      <c r="BG153" s="24"/>
      <c r="BH153" s="24"/>
      <c r="BI153" s="24"/>
      <c r="BJ153" s="24"/>
      <c r="BK153" s="24"/>
      <c r="BL153" s="24"/>
      <c r="BM153" s="24"/>
    </row>
    <row r="154" spans="1:66" ht="20.100000000000001" customHeight="1" x14ac:dyDescent="0.2">
      <c r="A154"/>
      <c r="D154" s="19" t="str" cm="1">
        <f t="array" ref="D154">Common_InputFunctions.Utility_DisplayArrayInTable(Common_SourceData.Common_SourceData_DataScores_Scope3_Data(), Table_SourceData_DataScores_Scope3[[#Headers],[Data source]], 0)</f>
        <v>International scope 3 database</v>
      </c>
      <c r="E154" s="19" cm="1">
        <f t="array" ref="E154">Common_InputFunctions.Utility_DisplayArrayInTable(Common_SourceData.Common_SourceData_DataScores_Scope3_Data(), Table_SourceData_DataScores_Scope3[[#Headers],[Data source]], 0)</f>
        <v>1</v>
      </c>
      <c r="BC154" s="24"/>
      <c r="BD154" s="24"/>
      <c r="BE154" s="24"/>
      <c r="BF154" s="24"/>
      <c r="BG154" s="24"/>
      <c r="BH154" s="24"/>
      <c r="BI154" s="24"/>
      <c r="BJ154" s="24"/>
      <c r="BK154" s="24"/>
      <c r="BL154" s="24"/>
      <c r="BM154" s="24"/>
    </row>
    <row r="155" spans="1:66" ht="20.100000000000001" customHeight="1" x14ac:dyDescent="0.2">
      <c r="A155"/>
      <c r="D155" s="19" t="str" cm="1">
        <f t="array" ref="D155">Common_InputFunctions.Utility_DisplayArrayInTable(Common_SourceData.Common_SourceData_DataScores_Scope3_Data(), Table_SourceData_DataScores_Scope3[[#Headers],[Data source]], 0)</f>
        <v>Australian scope 3 database</v>
      </c>
      <c r="E155" s="19" cm="1">
        <f t="array" ref="E155">Common_InputFunctions.Utility_DisplayArrayInTable(Common_SourceData.Common_SourceData_DataScores_Scope3_Data(), Table_SourceData_DataScores_Scope3[[#Headers],[Data source]], 0)</f>
        <v>2</v>
      </c>
      <c r="BC155" s="24"/>
      <c r="BD155" s="24"/>
      <c r="BE155" s="24"/>
      <c r="BF155" s="24"/>
      <c r="BG155" s="24"/>
      <c r="BH155" s="24"/>
      <c r="BI155" s="24"/>
      <c r="BJ155" s="24"/>
      <c r="BK155" s="24"/>
      <c r="BL155" s="24"/>
      <c r="BM155" s="24"/>
    </row>
    <row r="156" spans="1:66" ht="20.100000000000001" customHeight="1" x14ac:dyDescent="0.2">
      <c r="A156"/>
      <c r="D156" s="19" t="str" cm="1">
        <f t="array" ref="D156">Common_InputFunctions.Utility_DisplayArrayInTable(Common_SourceData.Common_SourceData_DataScores_Scope3_Data(), Table_SourceData_DataScores_Scope3[[#Headers],[Data source]], 0)</f>
        <v>State or regional scope 3 database</v>
      </c>
      <c r="E156" s="19" cm="1">
        <f t="array" ref="E156">Common_InputFunctions.Utility_DisplayArrayInTable(Common_SourceData.Common_SourceData_DataScores_Scope3_Data(), Table_SourceData_DataScores_Scope3[[#Headers],[Data source]], 0)</f>
        <v>3</v>
      </c>
    </row>
    <row r="157" spans="1:66" ht="20.100000000000001" customHeight="1" x14ac:dyDescent="0.2">
      <c r="A157"/>
      <c r="D157" s="19" t="str" cm="1">
        <f t="array" ref="D157">Common_InputFunctions.Utility_DisplayArrayInTable(Common_SourceData.Common_SourceData_DataScores_Scope3_Data(), Table_SourceData_DataScores_Scope3[[#Headers],[Data source]], 0)</f>
        <v>Emissions intensity calculated from approved method</v>
      </c>
      <c r="E157" s="19" cm="1">
        <f t="array" ref="E157">Common_InputFunctions.Utility_DisplayArrayInTable(Common_SourceData.Common_SourceData_DataScores_Scope3_Data(), Table_SourceData_DataScores_Scope3[[#Headers],[Data source]], 0)</f>
        <v>4</v>
      </c>
    </row>
    <row r="158" spans="1:66" ht="20.100000000000001" customHeight="1" x14ac:dyDescent="0.2">
      <c r="A158" s="79" t="str">
        <f>HYPERLINK("#A1", "▲ Back to top")</f>
        <v>▲ Back to top</v>
      </c>
      <c r="D158" s="19" t="str" cm="1">
        <f t="array" ref="D158">Common_InputFunctions.Utility_DisplayArrayInTable(Common_SourceData.Common_SourceData_DataScores_Scope3_Data(), Table_SourceData_DataScores_Scope3[[#Headers],[Data source]], 0)</f>
        <v>Verified credential matching ISO14067</v>
      </c>
      <c r="E158" s="19" cm="1">
        <f t="array" ref="E158">Common_InputFunctions.Utility_DisplayArrayInTable(Common_SourceData.Common_SourceData_DataScores_Scope3_Data(), Table_SourceData_DataScores_Scope3[[#Headers],[Data source]], 0)</f>
        <v>5</v>
      </c>
    </row>
    <row r="159" spans="1:66" ht="20.100000000000001" customHeight="1" x14ac:dyDescent="0.2">
      <c r="A159"/>
    </row>
    <row r="160" spans="1:66" ht="20.100000000000001" customHeight="1" x14ac:dyDescent="0.2">
      <c r="A160"/>
    </row>
    <row r="161" spans="1:68" ht="20.100000000000001" customHeight="1" x14ac:dyDescent="0.2">
      <c r="A161"/>
      <c r="D161" s="2" t="str" cm="1">
        <f t="array" ref="D161">Common_SourceData.Common_SourceData_FracLEACH_Title()</f>
        <v>Fraction of N that is available for leaching and runoff</v>
      </c>
      <c r="E161" s="8"/>
    </row>
    <row r="162" spans="1:68" ht="20.100000000000001" customHeight="1" x14ac:dyDescent="0.2">
      <c r="A162"/>
      <c r="D162" s="17" t="str" cm="1">
        <f t="array" ref="D162">Common_SourceData.Common_SourceData_FracLEACH_Source()</f>
        <v>VEERG 2026:5.5.2.3 Constant Parameters</v>
      </c>
      <c r="E162" s="8"/>
    </row>
    <row r="163" spans="1:68" ht="20.100000000000001" customHeight="1" x14ac:dyDescent="0.2">
      <c r="A163"/>
      <c r="D163" s="17" t="str" cm="1">
        <f t="array" ref="D163">Common_SourceData.Common_SourceData_FracLEACH_NIRReference()</f>
        <v>National Inventory Report Volume 1: Leaching and runoff (3.D.b.2)</v>
      </c>
      <c r="E163" s="8"/>
    </row>
    <row r="164" spans="1:68" ht="20.100000000000001" customHeight="1" x14ac:dyDescent="0.2">
      <c r="A164"/>
      <c r="D164" s="8" t="str" cm="1">
        <f t="array" ref="D164:E164">Common_SourceData.Common_SourceData_FracLEACH_Data()</f>
        <v>FracLEACH</v>
      </c>
      <c r="E164" s="8">
        <v>0.24</v>
      </c>
    </row>
    <row r="165" spans="1:68" ht="20.100000000000001" customHeight="1" x14ac:dyDescent="0.2">
      <c r="A165"/>
      <c r="BN165" s="21"/>
      <c r="BO165" s="21"/>
      <c r="BP165" s="21"/>
    </row>
    <row r="166" spans="1:68" ht="20.100000000000001" customHeight="1" x14ac:dyDescent="0.2">
      <c r="A166"/>
      <c r="BN166" s="21"/>
      <c r="BO166" s="21"/>
      <c r="BP166" s="21"/>
    </row>
    <row r="167" spans="1:68" ht="20.100000000000001" customHeight="1" x14ac:dyDescent="0.2">
      <c r="A167"/>
      <c r="D167" s="2" t="str" cm="1">
        <f t="array" ref="D167">Common_SourceData.Common_SourceData_EFleach_Title()</f>
        <v>Emission factor for nitrogen leaching and runoff</v>
      </c>
      <c r="BN167" s="21"/>
      <c r="BO167" s="21"/>
      <c r="BP167" s="21"/>
    </row>
    <row r="168" spans="1:68" ht="20.100000000000001" customHeight="1" x14ac:dyDescent="0.2">
      <c r="A168"/>
      <c r="D168" s="17" t="str" cm="1">
        <f t="array" ref="D168">Common_SourceData.Common_SourceData_EFleach_Source()</f>
        <v>VEERG 2026:5.5.2.3 Constant Parameters</v>
      </c>
      <c r="BN168" s="21"/>
      <c r="BO168" s="21"/>
      <c r="BP168" s="21"/>
    </row>
    <row r="169" spans="1:68" ht="20.100000000000001" customHeight="1" x14ac:dyDescent="0.2">
      <c r="A169"/>
      <c r="D169" s="17" t="str" cm="1">
        <f t="array" ref="D169">Common_SourceData.Common_SourceData_EFleach_NIRReference()</f>
        <v>National Inventory Report Volume 1: Equation 3.D.B_10</v>
      </c>
      <c r="BN169" s="21"/>
      <c r="BO169" s="21"/>
      <c r="BP169" s="21"/>
    </row>
    <row r="170" spans="1:68" ht="20.100000000000001" customHeight="1" x14ac:dyDescent="0.2">
      <c r="A170"/>
      <c r="D170" s="1" t="str" cm="1">
        <f t="array" ref="D170:E170">Common_SourceData.Common_SourceData_EFleach_Data()</f>
        <v>EFleach</v>
      </c>
      <c r="E170" s="1">
        <v>1.0999999999999999E-2</v>
      </c>
      <c r="BN170" s="21"/>
      <c r="BO170" s="21"/>
      <c r="BP170" s="21"/>
    </row>
    <row r="171" spans="1:68" ht="20.100000000000001" customHeight="1" x14ac:dyDescent="0.2">
      <c r="A171"/>
      <c r="BN171" s="21"/>
      <c r="BO171" s="21"/>
      <c r="BP171" s="21"/>
    </row>
    <row r="172" spans="1:68" ht="20.100000000000001" customHeight="1" x14ac:dyDescent="0.2">
      <c r="A172"/>
      <c r="BN172" s="21"/>
      <c r="BO172" s="21"/>
      <c r="BP172" s="21"/>
    </row>
    <row r="173" spans="1:68" ht="20.100000000000001" customHeight="1" x14ac:dyDescent="0.2">
      <c r="A173"/>
      <c r="D173" s="2" t="str" cm="1">
        <f t="array" ref="D173">Common_SourceData.Common_SourceData_DensityOfMethane_Title()</f>
        <v>p = density of methane</v>
      </c>
      <c r="BN173" s="21"/>
      <c r="BO173" s="21"/>
      <c r="BP173" s="21"/>
    </row>
    <row r="174" spans="1:68" ht="20.100000000000001" customHeight="1" x14ac:dyDescent="0.2">
      <c r="A174"/>
      <c r="D174" s="17" t="str" cm="1">
        <f t="array" ref="D174">Common_SourceData.Common_SourceData_DensityOfMethane_Source()</f>
        <v>National Inventory Report 2023 Volume 1: Equations 3.B.1a_2, 3.B.1c_2, 3.B.3_1, 3.B.4g_2</v>
      </c>
      <c r="BN174" s="21"/>
      <c r="BO174" s="21"/>
      <c r="BP174" s="21"/>
    </row>
    <row r="175" spans="1:68" ht="20.100000000000001" customHeight="1" x14ac:dyDescent="0.2">
      <c r="A175"/>
      <c r="D175" s="1" cm="1">
        <f t="array" ref="D175">Common_SourceData.Common_SourceData_DensityOfMethane_Data()</f>
        <v>0.6784</v>
      </c>
      <c r="E175" s="9" t="str" cm="1">
        <f t="array" ref="E175">Common_SourceData.Common_SourceData_DensityOfMethane_Unit()</f>
        <v>kg/m3</v>
      </c>
      <c r="BN175" s="21"/>
      <c r="BO175" s="21"/>
      <c r="BP175" s="21"/>
    </row>
    <row r="176" spans="1:68" ht="20.100000000000001" customHeight="1" x14ac:dyDescent="0.2">
      <c r="A176"/>
      <c r="BN176" s="21"/>
      <c r="BO176" s="21"/>
      <c r="BP176" s="21"/>
    </row>
    <row r="177" spans="1:68" ht="20.100000000000001" customHeight="1" x14ac:dyDescent="0.2">
      <c r="A177"/>
      <c r="BN177" s="21"/>
      <c r="BO177" s="21"/>
      <c r="BP177" s="21"/>
    </row>
    <row r="178" spans="1:68" ht="20.100000000000001" customHeight="1" x14ac:dyDescent="0.2">
      <c r="A178"/>
      <c r="D178" s="2" t="str" cm="1">
        <f t="array" ref="D178">Common_SourceData.Common_SourceData_EFN2O_Title()</f>
        <v>Nitrous oxide emission factors for inorganic fertiliser application</v>
      </c>
      <c r="BN178" s="21"/>
      <c r="BO178" s="21"/>
      <c r="BP178" s="21"/>
    </row>
    <row r="179" spans="1:68" ht="20.100000000000001" customHeight="1" x14ac:dyDescent="0.2">
      <c r="A179"/>
      <c r="D179" s="17" t="str" cm="1">
        <f t="array" ref="D179">Common_SourceData.Common_SourceData_EFN2O_Source()</f>
        <v>VEERG 2026: Table A.2.2.1</v>
      </c>
      <c r="BN179" s="21"/>
      <c r="BO179" s="21"/>
      <c r="BP179" s="21"/>
    </row>
    <row r="180" spans="1:68" ht="20.100000000000001" customHeight="1" x14ac:dyDescent="0.2">
      <c r="A180"/>
      <c r="D180" s="9" t="str" cm="1">
        <f t="array" ref="D180">Common_SourceData.Common_SourceData_EFN2O_Unit()</f>
        <v>(kg N2O-N / kg N</v>
      </c>
    </row>
    <row r="181" spans="1:68" ht="20.100000000000001" customHeight="1" x14ac:dyDescent="0.2">
      <c r="A181"/>
      <c r="D181" s="25" t="str" cm="1">
        <f t="array" ref="D181:D185">Common_SourceData.Common_SourceData_EFN2O_Variation()</f>
        <v>VARIATION OF SOURCE DATA:</v>
      </c>
    </row>
    <row r="182" spans="1:68" ht="20.100000000000001" customHeight="1" x14ac:dyDescent="0.2">
      <c r="A182"/>
      <c r="D182" s="25" t="str">
        <v>Removed duplicate 'Aquaculture' row.</v>
      </c>
    </row>
    <row r="183" spans="1:68" ht="20.100000000000001" customHeight="1" x14ac:dyDescent="0.2">
      <c r="A183"/>
      <c r="D183" s="25" t="str">
        <v>Removed asterisks to aid lookup.</v>
      </c>
    </row>
    <row r="184" spans="1:68" ht="20.100000000000001" customHeight="1" x14ac:dyDescent="0.2">
      <c r="A184"/>
      <c r="D184" s="25" t="str">
        <v>Added 'production system only', 'rainfall zone' and 'irrigation method' columns to aid lookup.</v>
      </c>
    </row>
    <row r="185" spans="1:68" ht="20.100000000000001" customHeight="1" x14ac:dyDescent="0.2">
      <c r="A185"/>
      <c r="D185" s="25" t="str">
        <v>Duplicated 'non-irrigated pasture' row with same EF for low and high rainfall zones to aid lookup.</v>
      </c>
    </row>
    <row r="186" spans="1:68" ht="20.100000000000001" customHeight="1" x14ac:dyDescent="0.2">
      <c r="A186"/>
      <c r="D186" s="19" t="s">
        <v>60</v>
      </c>
      <c r="E186" s="19" t="s">
        <v>61</v>
      </c>
      <c r="F186" s="19" t="s">
        <v>62</v>
      </c>
      <c r="G186" s="19" t="s">
        <v>63</v>
      </c>
      <c r="H186" s="19" t="s">
        <v>64</v>
      </c>
    </row>
    <row r="187" spans="1:68" ht="20.100000000000001" customHeight="1" x14ac:dyDescent="0.2">
      <c r="A187"/>
      <c r="D187" s="19" t="str" cm="1">
        <f t="array" ref="D187">Common_InputFunctions.Utility_DisplayArrayInTable(Common_SourceData.Common_SourceData_EFN2O_Data(), Table_SourceData_Common_EFN2O[[#Headers],[Production system j]], 0)</f>
        <v>Irrigated pasture</v>
      </c>
      <c r="E187" s="19" cm="1">
        <f t="array" ref="E187">Common_InputFunctions.Utility_DisplayArrayInTable(Common_SourceData.Common_SourceData_EFN2O_Data(), Table_SourceData_Common_EFN2O[[#Headers],[Production system j]], 0)</f>
        <v>5.8999999999999999E-3</v>
      </c>
      <c r="F187" s="19" t="str" cm="1">
        <f t="array" ref="F187">Common_InputFunctions.Utility_DisplayArrayInTable(Common_SourceData.Common_SourceData_EFN2O_Data(), Table_SourceData_Common_EFN2O[[#Headers],[Production system j]], 0)</f>
        <v>Pasture</v>
      </c>
      <c r="G187" s="19" t="str" cm="1">
        <f t="array" ref="G187">Common_InputFunctions.Utility_DisplayArrayInTable(Common_SourceData.Common_SourceData_EFN2O_Data(), Table_SourceData_Common_EFN2O[[#Headers],[Production system j]], 0)</f>
        <v>Any</v>
      </c>
      <c r="H187" s="19" t="str" cm="1">
        <f t="array" ref="H187">Common_InputFunctions.Utility_DisplayArrayInTable(Common_SourceData.Common_SourceData_EFN2O_Data(), Table_SourceData_Common_EFN2O[[#Headers],[Production system j]], 0)</f>
        <v>Any</v>
      </c>
    </row>
    <row r="188" spans="1:68" ht="20.100000000000001" customHeight="1" x14ac:dyDescent="0.2">
      <c r="A188" s="79" t="str">
        <f>HYPERLINK("#A1", "▲ Back to top")</f>
        <v>▲ Back to top</v>
      </c>
      <c r="D188" s="19" t="str" cm="1">
        <f t="array" ref="D188">Common_InputFunctions.Utility_DisplayArrayInTable(Common_SourceData.Common_SourceData_EFN2O_Data(), Table_SourceData_Common_EFN2O[[#Headers],[Production system j]], 0)</f>
        <v>Irrigated crop</v>
      </c>
      <c r="E188" s="19" cm="1">
        <f t="array" ref="E188">Common_InputFunctions.Utility_DisplayArrayInTable(Common_SourceData.Common_SourceData_EFN2O_Data(), Table_SourceData_Common_EFN2O[[#Headers],[Production system j]], 0)</f>
        <v>7.0000000000000001E-3</v>
      </c>
      <c r="F188" s="19" t="str" cm="1">
        <f t="array" ref="F188">Common_InputFunctions.Utility_DisplayArrayInTable(Common_SourceData.Common_SourceData_EFN2O_Data(), Table_SourceData_Common_EFN2O[[#Headers],[Production system j]], 0)</f>
        <v>Crop</v>
      </c>
      <c r="G188" s="19" t="str" cm="1">
        <f t="array" ref="G188">Common_InputFunctions.Utility_DisplayArrayInTable(Common_SourceData.Common_SourceData_EFN2O_Data(), Table_SourceData_Common_EFN2O[[#Headers],[Production system j]], 0)</f>
        <v>Any</v>
      </c>
      <c r="H188" s="19" t="str" cm="1">
        <f t="array" ref="H188">Common_InputFunctions.Utility_DisplayArrayInTable(Common_SourceData.Common_SourceData_EFN2O_Data(), Table_SourceData_Common_EFN2O[[#Headers],[Production system j]], 0)</f>
        <v>Any</v>
      </c>
    </row>
    <row r="189" spans="1:68" ht="20.100000000000001" customHeight="1" x14ac:dyDescent="0.2">
      <c r="A189"/>
      <c r="D189" s="19" t="str" cm="1">
        <f t="array" ref="D189">Common_InputFunctions.Utility_DisplayArrayInTable(Common_SourceData.Common_SourceData_EFN2O_Data(), Table_SourceData_Common_EFN2O[[#Headers],[Production system j]], 0)</f>
        <v>Non-irrigated pasture</v>
      </c>
      <c r="E189" s="19" cm="1">
        <f t="array" ref="E189">Common_InputFunctions.Utility_DisplayArrayInTable(Common_SourceData.Common_SourceData_EFN2O_Data(), Table_SourceData_Common_EFN2O[[#Headers],[Production system j]], 0)</f>
        <v>1.8E-3</v>
      </c>
      <c r="F189" s="19" t="str" cm="1">
        <f t="array" ref="F189">Common_InputFunctions.Utility_DisplayArrayInTable(Common_SourceData.Common_SourceData_EFN2O_Data(), Table_SourceData_Common_EFN2O[[#Headers],[Production system j]], 0)</f>
        <v>Pasture</v>
      </c>
      <c r="G189" s="19" t="str" cm="1">
        <f t="array" ref="G189">Common_InputFunctions.Utility_DisplayArrayInTable(Common_SourceData.Common_SourceData_EFN2O_Data(), Table_SourceData_Common_EFN2O[[#Headers],[Production system j]], 0)</f>
        <v>Not irrigated</v>
      </c>
      <c r="H189" s="19" t="str" cm="1">
        <f t="array" ref="H189">Common_InputFunctions.Utility_DisplayArrayInTable(Common_SourceData.Common_SourceData_EFN2O_Data(), Table_SourceData_Common_EFN2O[[#Headers],[Production system j]], 0)</f>
        <v>Low rainfall</v>
      </c>
    </row>
    <row r="190" spans="1:68" ht="20.100000000000001" customHeight="1" x14ac:dyDescent="0.2">
      <c r="A190"/>
      <c r="D190" s="19" t="str" cm="1">
        <f t="array" ref="D190">Common_InputFunctions.Utility_DisplayArrayInTable(Common_SourceData.Common_SourceData_EFN2O_Data(), Table_SourceData_Common_EFN2O[[#Headers],[Production system j]], 0)</f>
        <v>Non-irrigated pasture</v>
      </c>
      <c r="E190" s="19" cm="1">
        <f t="array" ref="E190">Common_InputFunctions.Utility_DisplayArrayInTable(Common_SourceData.Common_SourceData_EFN2O_Data(), Table_SourceData_Common_EFN2O[[#Headers],[Production system j]], 0)</f>
        <v>1.8E-3</v>
      </c>
      <c r="F190" s="19" t="str" cm="1">
        <f t="array" ref="F190">Common_InputFunctions.Utility_DisplayArrayInTable(Common_SourceData.Common_SourceData_EFN2O_Data(), Table_SourceData_Common_EFN2O[[#Headers],[Production system j]], 0)</f>
        <v>Pasture</v>
      </c>
      <c r="G190" s="19" t="str" cm="1">
        <f t="array" ref="G190">Common_InputFunctions.Utility_DisplayArrayInTable(Common_SourceData.Common_SourceData_EFN2O_Data(), Table_SourceData_Common_EFN2O[[#Headers],[Production system j]], 0)</f>
        <v>Not irrigated</v>
      </c>
      <c r="H190" s="19" t="str" cm="1">
        <f t="array" ref="H190">Common_InputFunctions.Utility_DisplayArrayInTable(Common_SourceData.Common_SourceData_EFN2O_Data(), Table_SourceData_Common_EFN2O[[#Headers],[Production system j]], 0)</f>
        <v>High rainfall</v>
      </c>
    </row>
    <row r="191" spans="1:68" ht="20.100000000000001" customHeight="1" x14ac:dyDescent="0.2">
      <c r="A191"/>
      <c r="D191" s="19" t="str" cm="1">
        <f t="array" ref="D191">Common_InputFunctions.Utility_DisplayArrayInTable(Common_SourceData.Common_SourceData_EFN2O_Data(), Table_SourceData_Common_EFN2O[[#Headers],[Production system j]], 0)</f>
        <v>Non-irrigated crop (low rainfall)</v>
      </c>
      <c r="E191" s="19" cm="1">
        <f t="array" ref="E191">Common_InputFunctions.Utility_DisplayArrayInTable(Common_SourceData.Common_SourceData_EFN2O_Data(), Table_SourceData_Common_EFN2O[[#Headers],[Production system j]], 0)</f>
        <v>2.8999999999999998E-3</v>
      </c>
      <c r="F191" s="19" t="str" cm="1">
        <f t="array" ref="F191">Common_InputFunctions.Utility_DisplayArrayInTable(Common_SourceData.Common_SourceData_EFN2O_Data(), Table_SourceData_Common_EFN2O[[#Headers],[Production system j]], 0)</f>
        <v>Crop</v>
      </c>
      <c r="G191" s="19" t="str" cm="1">
        <f t="array" ref="G191">Common_InputFunctions.Utility_DisplayArrayInTable(Common_SourceData.Common_SourceData_EFN2O_Data(), Table_SourceData_Common_EFN2O[[#Headers],[Production system j]], 0)</f>
        <v>Not irrigated</v>
      </c>
      <c r="H191" s="19" t="str" cm="1">
        <f t="array" ref="H191">Common_InputFunctions.Utility_DisplayArrayInTable(Common_SourceData.Common_SourceData_EFN2O_Data(), Table_SourceData_Common_EFN2O[[#Headers],[Production system j]], 0)</f>
        <v>Low rainfall</v>
      </c>
    </row>
    <row r="192" spans="1:68" ht="20.100000000000001" customHeight="1" x14ac:dyDescent="0.2">
      <c r="A192"/>
      <c r="D192" s="19" t="str" cm="1">
        <f t="array" ref="D192">Common_InputFunctions.Utility_DisplayArrayInTable(Common_SourceData.Common_SourceData_EFN2O_Data(), Table_SourceData_Common_EFN2O[[#Headers],[Production system j]], 0)</f>
        <v>Non-irrigated crop (high rainfall)</v>
      </c>
      <c r="E192" s="19" cm="1">
        <f t="array" ref="E192">Common_InputFunctions.Utility_DisplayArrayInTable(Common_SourceData.Common_SourceData_EFN2O_Data(), Table_SourceData_Common_EFN2O[[#Headers],[Production system j]], 0)</f>
        <v>8.0000000000000002E-3</v>
      </c>
      <c r="F192" s="19" t="str" cm="1">
        <f t="array" ref="F192">Common_InputFunctions.Utility_DisplayArrayInTable(Common_SourceData.Common_SourceData_EFN2O_Data(), Table_SourceData_Common_EFN2O[[#Headers],[Production system j]], 0)</f>
        <v>Crop</v>
      </c>
      <c r="G192" s="19" t="str" cm="1">
        <f t="array" ref="G192">Common_InputFunctions.Utility_DisplayArrayInTable(Common_SourceData.Common_SourceData_EFN2O_Data(), Table_SourceData_Common_EFN2O[[#Headers],[Production system j]], 0)</f>
        <v>Not irrigated</v>
      </c>
      <c r="H192" s="19" t="str" cm="1">
        <f t="array" ref="H192">Common_InputFunctions.Utility_DisplayArrayInTable(Common_SourceData.Common_SourceData_EFN2O_Data(), Table_SourceData_Common_EFN2O[[#Headers],[Production system j]], 0)</f>
        <v>High rainfall</v>
      </c>
    </row>
    <row r="193" spans="1:8" ht="20.100000000000001" customHeight="1" x14ac:dyDescent="0.2">
      <c r="A193"/>
      <c r="D193" s="19" t="str" cm="1">
        <f t="array" ref="D193">Common_InputFunctions.Utility_DisplayArrayInTable(Common_SourceData.Common_SourceData_EFN2O_Data(), Table_SourceData_Common_EFN2O[[#Headers],[Production system j]], 0)</f>
        <v>Sugar</v>
      </c>
      <c r="E193" s="19" cm="1">
        <f t="array" ref="E193">Common_InputFunctions.Utility_DisplayArrayInTable(Common_SourceData.Common_SourceData_EFN2O_Data(), Table_SourceData_Common_EFN2O[[#Headers],[Production system j]], 0)</f>
        <v>1.9900000000000001E-2</v>
      </c>
      <c r="F193" s="19" t="str" cm="1">
        <f t="array" ref="F193">Common_InputFunctions.Utility_DisplayArrayInTable(Common_SourceData.Common_SourceData_EFN2O_Data(), Table_SourceData_Common_EFN2O[[#Headers],[Production system j]], 0)</f>
        <v>Sugar</v>
      </c>
      <c r="G193" s="19" t="str" cm="1">
        <f t="array" ref="G193">Common_InputFunctions.Utility_DisplayArrayInTable(Common_SourceData.Common_SourceData_EFN2O_Data(), Table_SourceData_Common_EFN2O[[#Headers],[Production system j]], 0)</f>
        <v>Any</v>
      </c>
      <c r="H193" s="19" t="str" cm="1">
        <f t="array" ref="H193">Common_InputFunctions.Utility_DisplayArrayInTable(Common_SourceData.Common_SourceData_EFN2O_Data(), Table_SourceData_Common_EFN2O[[#Headers],[Production system j]], 0)</f>
        <v>Any</v>
      </c>
    </row>
    <row r="194" spans="1:8" ht="20.100000000000001" customHeight="1" x14ac:dyDescent="0.2">
      <c r="A194"/>
      <c r="D194" s="19" t="str" cm="1">
        <f t="array" ref="D194">Common_InputFunctions.Utility_DisplayArrayInTable(Common_SourceData.Common_SourceData_EFN2O_Data(), Table_SourceData_Common_EFN2O[[#Headers],[Production system j]], 0)</f>
        <v>Cotton</v>
      </c>
      <c r="E194" s="19" cm="1">
        <f t="array" ref="E194">Common_InputFunctions.Utility_DisplayArrayInTable(Common_SourceData.Common_SourceData_EFN2O_Data(), Table_SourceData_Common_EFN2O[[#Headers],[Production system j]], 0)</f>
        <v>5.3E-3</v>
      </c>
      <c r="F194" s="19" t="str" cm="1">
        <f t="array" ref="F194">Common_InputFunctions.Utility_DisplayArrayInTable(Common_SourceData.Common_SourceData_EFN2O_Data(), Table_SourceData_Common_EFN2O[[#Headers],[Production system j]], 0)</f>
        <v>Cotton</v>
      </c>
      <c r="G194" s="19" t="str" cm="1">
        <f t="array" ref="G194">Common_InputFunctions.Utility_DisplayArrayInTable(Common_SourceData.Common_SourceData_EFN2O_Data(), Table_SourceData_Common_EFN2O[[#Headers],[Production system j]], 0)</f>
        <v>Any</v>
      </c>
      <c r="H194" s="19" t="str" cm="1">
        <f t="array" ref="H194">Common_InputFunctions.Utility_DisplayArrayInTable(Common_SourceData.Common_SourceData_EFN2O_Data(), Table_SourceData_Common_EFN2O[[#Headers],[Production system j]], 0)</f>
        <v>Any</v>
      </c>
    </row>
    <row r="195" spans="1:8" ht="20.100000000000001" customHeight="1" x14ac:dyDescent="0.2">
      <c r="A195"/>
      <c r="D195" s="19" t="str" cm="1">
        <f t="array" ref="D195">Common_InputFunctions.Utility_DisplayArrayInTable(Common_SourceData.Common_SourceData_EFN2O_Data(), Table_SourceData_Common_EFN2O[[#Headers],[Production system j]], 0)</f>
        <v>Horticultural crops</v>
      </c>
      <c r="E195" s="19" cm="1">
        <f t="array" ref="E195">Common_InputFunctions.Utility_DisplayArrayInTable(Common_SourceData.Common_SourceData_EFN2O_Data(), Table_SourceData_Common_EFN2O[[#Headers],[Production system j]], 0)</f>
        <v>6.4000000000000003E-3</v>
      </c>
      <c r="F195" s="19" t="str" cm="1">
        <f t="array" ref="F195">Common_InputFunctions.Utility_DisplayArrayInTable(Common_SourceData.Common_SourceData_EFN2O_Data(), Table_SourceData_Common_EFN2O[[#Headers],[Production system j]], 0)</f>
        <v>Horticultural crops</v>
      </c>
      <c r="G195" s="19" t="str" cm="1">
        <f t="array" ref="G195">Common_InputFunctions.Utility_DisplayArrayInTable(Common_SourceData.Common_SourceData_EFN2O_Data(), Table_SourceData_Common_EFN2O[[#Headers],[Production system j]], 0)</f>
        <v>Any</v>
      </c>
      <c r="H195" s="19" t="str" cm="1">
        <f t="array" ref="H195">Common_InputFunctions.Utility_DisplayArrayInTable(Common_SourceData.Common_SourceData_EFN2O_Data(), Table_SourceData_Common_EFN2O[[#Headers],[Production system j]], 0)</f>
        <v>Any</v>
      </c>
    </row>
    <row r="196" spans="1:8" ht="20.100000000000001" customHeight="1" x14ac:dyDescent="0.2">
      <c r="A196"/>
      <c r="D196" s="19" t="str" cm="1">
        <f t="array" ref="D196">Common_InputFunctions.Utility_DisplayArrayInTable(Common_SourceData.Common_SourceData_EFN2O_Data(), Table_SourceData_Common_EFN2O[[#Headers],[Production system j]], 0)</f>
        <v>Rice (continuous flooding)</v>
      </c>
      <c r="E196" s="19" cm="1">
        <f t="array" ref="E196">Common_InputFunctions.Utility_DisplayArrayInTable(Common_SourceData.Common_SourceData_EFN2O_Data(), Table_SourceData_Common_EFN2O[[#Headers],[Production system j]], 0)</f>
        <v>3.0000000000000001E-3</v>
      </c>
      <c r="F196" s="19" t="str" cm="1">
        <f t="array" ref="F196">Common_InputFunctions.Utility_DisplayArrayInTable(Common_SourceData.Common_SourceData_EFN2O_Data(), Table_SourceData_Common_EFN2O[[#Headers],[Production system j]], 0)</f>
        <v>Rice</v>
      </c>
      <c r="G196" s="19" t="str" cm="1">
        <f t="array" ref="G196">Common_InputFunctions.Utility_DisplayArrayInTable(Common_SourceData.Common_SourceData_EFN2O_Data(), Table_SourceData_Common_EFN2O[[#Headers],[Production system j]], 0)</f>
        <v>Continuous flooding</v>
      </c>
      <c r="H196" s="19" t="str" cm="1">
        <f t="array" ref="H196">Common_InputFunctions.Utility_DisplayArrayInTable(Common_SourceData.Common_SourceData_EFN2O_Data(), Table_SourceData_Common_EFN2O[[#Headers],[Production system j]], 0)</f>
        <v>Any</v>
      </c>
    </row>
    <row r="197" spans="1:8" ht="20.100000000000001" customHeight="1" x14ac:dyDescent="0.2">
      <c r="A197"/>
      <c r="D197" s="19" t="str" cm="1">
        <f t="array" ref="D197">Common_InputFunctions.Utility_DisplayArrayInTable(Common_SourceData.Common_SourceData_EFN2O_Data(), Table_SourceData_Common_EFN2O[[#Headers],[Production system j]], 0)</f>
        <v>Rice (single and multiple drainage, or alternate wetting and drying)</v>
      </c>
      <c r="E197" s="19" cm="1">
        <f t="array" ref="E197">Common_InputFunctions.Utility_DisplayArrayInTable(Common_SourceData.Common_SourceData_EFN2O_Data(), Table_SourceData_Common_EFN2O[[#Headers],[Production system j]], 0)</f>
        <v>5.0000000000000001E-3</v>
      </c>
      <c r="F197" s="19" t="str" cm="1">
        <f t="array" ref="F197">Common_InputFunctions.Utility_DisplayArrayInTable(Common_SourceData.Common_SourceData_EFN2O_Data(), Table_SourceData_Common_EFN2O[[#Headers],[Production system j]], 0)</f>
        <v>Rice</v>
      </c>
      <c r="G197" s="19" t="str" cm="1">
        <f t="array" ref="G197">Common_InputFunctions.Utility_DisplayArrayInTable(Common_SourceData.Common_SourceData_EFN2O_Data(), Table_SourceData_Common_EFN2O[[#Headers],[Production system j]], 0)</f>
        <v>Single and multiple drainage, or alternate wetting and drying</v>
      </c>
      <c r="H197" s="19" t="str" cm="1">
        <f t="array" ref="H197">Common_InputFunctions.Utility_DisplayArrayInTable(Common_SourceData.Common_SourceData_EFN2O_Data(), Table_SourceData_Common_EFN2O[[#Headers],[Production system j]], 0)</f>
        <v>Any</v>
      </c>
    </row>
    <row r="198" spans="1:8" ht="20.100000000000001" customHeight="1" x14ac:dyDescent="0.2">
      <c r="A198"/>
      <c r="D198" s="19" t="str" cm="1">
        <f t="array" ref="D198">Common_InputFunctions.Utility_DisplayArrayInTable(Common_SourceData.Common_SourceData_EFN2O_Data(), Table_SourceData_Common_EFN2O[[#Headers],[Production system j]], 0)</f>
        <v>Aquaculture</v>
      </c>
      <c r="E198" s="19" cm="1">
        <f t="array" ref="E198">Common_InputFunctions.Utility_DisplayArrayInTable(Common_SourceData.Common_SourceData_EFN2O_Data(), Table_SourceData_Common_EFN2O[[#Headers],[Production system j]], 0)</f>
        <v>2.5999999999999999E-3</v>
      </c>
      <c r="F198" s="19" t="str" cm="1">
        <f t="array" ref="F198">Common_InputFunctions.Utility_DisplayArrayInTable(Common_SourceData.Common_SourceData_EFN2O_Data(), Table_SourceData_Common_EFN2O[[#Headers],[Production system j]], 0)</f>
        <v>Aquaculture</v>
      </c>
      <c r="G198" s="19" t="str" cm="1">
        <f t="array" ref="G198">Common_InputFunctions.Utility_DisplayArrayInTable(Common_SourceData.Common_SourceData_EFN2O_Data(), Table_SourceData_Common_EFN2O[[#Headers],[Production system j]], 0)</f>
        <v>Any</v>
      </c>
      <c r="H198" s="19" t="str" cm="1">
        <f t="array" ref="H198">Common_InputFunctions.Utility_DisplayArrayInTable(Common_SourceData.Common_SourceData_EFN2O_Data(), Table_SourceData_Common_EFN2O[[#Headers],[Production system j]], 0)</f>
        <v>Any</v>
      </c>
    </row>
    <row r="199" spans="1:8" ht="20.100000000000001" customHeight="1" x14ac:dyDescent="0.2">
      <c r="A199"/>
      <c r="D199" s="19" t="str" cm="1">
        <f t="array" ref="D199">Common_InputFunctions.Utility_DisplayArrayInTable(Common_SourceData.Common_SourceData_EFN2O_Data(), Table_SourceData_Common_EFN2O[[#Headers],[Production system j]], 0)</f>
        <v>Forestry</v>
      </c>
      <c r="E199" s="19" cm="1">
        <f t="array" ref="E199">Common_InputFunctions.Utility_DisplayArrayInTable(Common_SourceData.Common_SourceData_EFN2O_Data(), Table_SourceData_Common_EFN2O[[#Headers],[Production system j]], 0)</f>
        <v>1.8E-3</v>
      </c>
      <c r="F199" s="19" t="str" cm="1">
        <f t="array" ref="F199">Common_InputFunctions.Utility_DisplayArrayInTable(Common_SourceData.Common_SourceData_EFN2O_Data(), Table_SourceData_Common_EFN2O[[#Headers],[Production system j]], 0)</f>
        <v>Forestry</v>
      </c>
      <c r="G199" s="19" t="str" cm="1">
        <f t="array" ref="G199">Common_InputFunctions.Utility_DisplayArrayInTable(Common_SourceData.Common_SourceData_EFN2O_Data(), Table_SourceData_Common_EFN2O[[#Headers],[Production system j]], 0)</f>
        <v>Any</v>
      </c>
      <c r="H199" s="19" t="str" cm="1">
        <f t="array" ref="H199">Common_InputFunctions.Utility_DisplayArrayInTable(Common_SourceData.Common_SourceData_EFN2O_Data(), Table_SourceData_Common_EFN2O[[#Headers],[Production system j]], 0)</f>
        <v>Any</v>
      </c>
    </row>
    <row r="200" spans="1:8" ht="20.100000000000001" customHeight="1" x14ac:dyDescent="0.2">
      <c r="A200"/>
    </row>
    <row r="201" spans="1:8" ht="20.100000000000001" customHeight="1" x14ac:dyDescent="0.2">
      <c r="A201"/>
    </row>
    <row r="202" spans="1:8" ht="20.100000000000001" customHeight="1" x14ac:dyDescent="0.2">
      <c r="A202"/>
      <c r="D202" s="2" t="str" cm="1">
        <f t="array" ref="D202">Common_SourceData.Common_SourceData_EFPastureRangeAndPaddock_Title()</f>
        <v>Emission factor for urine and dung deposited on pasture, range or paddock</v>
      </c>
    </row>
    <row r="203" spans="1:8" ht="20.100000000000001" customHeight="1" x14ac:dyDescent="0.2">
      <c r="A203"/>
      <c r="D203" s="17" t="str" cm="1">
        <f t="array" ref="D203">Common_SourceData.Common_SourceData_EFPastureRangeAndPaddock_Source()</f>
        <v>VEERG 2026: Table A.2.2.2</v>
      </c>
    </row>
    <row r="204" spans="1:8" ht="20.100000000000001" customHeight="1" x14ac:dyDescent="0.2">
      <c r="A204"/>
      <c r="D204" s="25" t="str" cm="1">
        <f t="array" ref="D204">Common_SourceData.Common_SourceData_EFPastureRangeAndPaddock_Variation()</f>
        <v>VARIATION FROM SOURCE DATA: Changed 'Dry climate zones' to singular 'Dry climate zone' to aid lookup.</v>
      </c>
    </row>
    <row r="205" spans="1:8" ht="20.100000000000001" customHeight="1" x14ac:dyDescent="0.2">
      <c r="A205"/>
      <c r="D205" s="9" t="str" cm="1">
        <f t="array" ref="D205">Common_SourceData.Common_SourceData_EFPastureRangeAndPaddock_Unit()</f>
        <v>kg N2O - N / kg N</v>
      </c>
    </row>
    <row r="206" spans="1:8" ht="20.100000000000001" customHeight="1" x14ac:dyDescent="0.2">
      <c r="A206"/>
      <c r="D206" s="19" t="s">
        <v>31</v>
      </c>
      <c r="E206" s="19" t="s">
        <v>65</v>
      </c>
    </row>
    <row r="207" spans="1:8" ht="20.100000000000001" customHeight="1" x14ac:dyDescent="0.2">
      <c r="A207"/>
      <c r="D207" s="19" t="str" cm="1">
        <f t="array" ref="D207">Common_InputFunctions.Utility_DisplayArrayInTable(Common_SourceData.Common_SourceData_EFPastureRangeAndPaddock_Data(), Table_SourceData_EFPastureRangeAndPaddock[[#Headers],[Climate zone]], 0)</f>
        <v>Wet climate zone</v>
      </c>
      <c r="E207" s="19" cm="1">
        <f t="array" ref="E207">Common_InputFunctions.Utility_DisplayArrayInTable(Common_SourceData.Common_SourceData_EFPastureRangeAndPaddock_Data(), Table_SourceData_EFPastureRangeAndPaddock[[#Headers],[Climate zone]], 0)</f>
        <v>6.0000000000000001E-3</v>
      </c>
    </row>
    <row r="208" spans="1:8" ht="20.100000000000001" customHeight="1" x14ac:dyDescent="0.2">
      <c r="A208"/>
      <c r="D208" s="1" t="str" cm="1">
        <f t="array" ref="D208">Common_InputFunctions.Utility_DisplayArrayInTable(Common_SourceData.Common_SourceData_EFPastureRangeAndPaddock_Data(), Table_SourceData_EFPastureRangeAndPaddock[[#Headers],[Climate zone]], 0)</f>
        <v>Dry climate zone</v>
      </c>
      <c r="E208" s="19" cm="1">
        <f t="array" ref="E208">Common_InputFunctions.Utility_DisplayArrayInTable(Common_SourceData.Common_SourceData_EFPastureRangeAndPaddock_Data(), Table_SourceData_EFPastureRangeAndPaddock[[#Headers],[Climate zone]], 0)</f>
        <v>2E-3</v>
      </c>
    </row>
    <row r="209" spans="1:5" ht="20.100000000000001" customHeight="1" x14ac:dyDescent="0.2">
      <c r="A209"/>
    </row>
    <row r="210" spans="1:5" ht="20.100000000000001" customHeight="1" x14ac:dyDescent="0.2">
      <c r="A210"/>
    </row>
    <row r="211" spans="1:5" ht="20.100000000000001" customHeight="1" x14ac:dyDescent="0.2">
      <c r="A211"/>
      <c r="D211" s="1" t="str" cm="1">
        <f t="array" ref="D211">Common_SourceData.Common_SourceData_MonthsToSeasons_Title()</f>
        <v>Months to Seasons Mapping</v>
      </c>
    </row>
    <row r="212" spans="1:5" ht="20.100000000000001" customHeight="1" x14ac:dyDescent="0.2">
      <c r="A212"/>
      <c r="D212" s="19" t="s">
        <v>66</v>
      </c>
      <c r="E212" s="19" t="s">
        <v>67</v>
      </c>
    </row>
    <row r="213" spans="1:5" ht="20.100000000000001" customHeight="1" x14ac:dyDescent="0.2">
      <c r="A213"/>
      <c r="D213" s="19" t="str" cm="1">
        <f t="array" ref="D213">Common_InputFunctions.Utility_DisplayArrayInTable(Common_SourceData.Common_SourceData_MonthsToSeasons_Data(), Table_SourceData_Common_MonthToSeason[[#Headers],[Month]], 0)</f>
        <v>January</v>
      </c>
      <c r="E213" s="19" t="str" cm="1">
        <f t="array" ref="E213">Common_InputFunctions.Utility_DisplayArrayInTable(Common_SourceData.Common_SourceData_MonthsToSeasons_Data(), Table_SourceData_Common_MonthToSeason[[#Headers],[Month]], 0)</f>
        <v>Summer</v>
      </c>
    </row>
    <row r="214" spans="1:5" ht="20.100000000000001" customHeight="1" x14ac:dyDescent="0.2">
      <c r="A214"/>
      <c r="D214" s="1" t="str" cm="1">
        <f t="array" ref="D214">Common_InputFunctions.Utility_DisplayArrayInTable(Common_SourceData.Common_SourceData_MonthsToSeasons_Data(), Table_SourceData_Common_MonthToSeason[[#Headers],[Month]], 0)</f>
        <v>February</v>
      </c>
      <c r="E214" s="19" t="str" cm="1">
        <f t="array" ref="E214">Common_InputFunctions.Utility_DisplayArrayInTable(Common_SourceData.Common_SourceData_MonthsToSeasons_Data(), Table_SourceData_Common_MonthToSeason[[#Headers],[Month]], 0)</f>
        <v>Summer</v>
      </c>
    </row>
    <row r="215" spans="1:5" ht="20.100000000000001" customHeight="1" x14ac:dyDescent="0.2">
      <c r="A215"/>
      <c r="D215" s="1" t="str" cm="1">
        <f t="array" ref="D215">Common_InputFunctions.Utility_DisplayArrayInTable(Common_SourceData.Common_SourceData_MonthsToSeasons_Data(), Table_SourceData_Common_MonthToSeason[[#Headers],[Month]], 0)</f>
        <v>March</v>
      </c>
      <c r="E215" s="19" t="str" cm="1">
        <f t="array" ref="E215">Common_InputFunctions.Utility_DisplayArrayInTable(Common_SourceData.Common_SourceData_MonthsToSeasons_Data(), Table_SourceData_Common_MonthToSeason[[#Headers],[Month]], 0)</f>
        <v>Autumn</v>
      </c>
    </row>
    <row r="216" spans="1:5" ht="20.100000000000001" customHeight="1" x14ac:dyDescent="0.2">
      <c r="A216"/>
      <c r="D216" s="1" t="str" cm="1">
        <f t="array" ref="D216">Common_InputFunctions.Utility_DisplayArrayInTable(Common_SourceData.Common_SourceData_MonthsToSeasons_Data(), Table_SourceData_Common_MonthToSeason[[#Headers],[Month]], 0)</f>
        <v>April</v>
      </c>
      <c r="E216" s="19" t="str" cm="1">
        <f t="array" ref="E216">Common_InputFunctions.Utility_DisplayArrayInTable(Common_SourceData.Common_SourceData_MonthsToSeasons_Data(), Table_SourceData_Common_MonthToSeason[[#Headers],[Month]], 0)</f>
        <v>Autumn</v>
      </c>
    </row>
    <row r="217" spans="1:5" ht="20.100000000000001" customHeight="1" x14ac:dyDescent="0.2">
      <c r="A217"/>
      <c r="D217" s="1" t="str" cm="1">
        <f t="array" ref="D217">Common_InputFunctions.Utility_DisplayArrayInTable(Common_SourceData.Common_SourceData_MonthsToSeasons_Data(), Table_SourceData_Common_MonthToSeason[[#Headers],[Month]], 0)</f>
        <v>May</v>
      </c>
      <c r="E217" s="19" t="str" cm="1">
        <f t="array" ref="E217">Common_InputFunctions.Utility_DisplayArrayInTable(Common_SourceData.Common_SourceData_MonthsToSeasons_Data(), Table_SourceData_Common_MonthToSeason[[#Headers],[Month]], 0)</f>
        <v>Autumn</v>
      </c>
    </row>
    <row r="218" spans="1:5" ht="20.100000000000001" customHeight="1" x14ac:dyDescent="0.2">
      <c r="A218" s="79" t="str">
        <f>HYPERLINK("#A1", "▲ Back to top")</f>
        <v>▲ Back to top</v>
      </c>
      <c r="D218" s="1" t="str" cm="1">
        <f t="array" ref="D218">Common_InputFunctions.Utility_DisplayArrayInTable(Common_SourceData.Common_SourceData_MonthsToSeasons_Data(), Table_SourceData_Common_MonthToSeason[[#Headers],[Month]], 0)</f>
        <v>June</v>
      </c>
      <c r="E218" s="19" t="str" cm="1">
        <f t="array" ref="E218">Common_InputFunctions.Utility_DisplayArrayInTable(Common_SourceData.Common_SourceData_MonthsToSeasons_Data(), Table_SourceData_Common_MonthToSeason[[#Headers],[Month]], 0)</f>
        <v>Winter</v>
      </c>
    </row>
    <row r="219" spans="1:5" ht="20.100000000000001" customHeight="1" x14ac:dyDescent="0.2">
      <c r="A219"/>
      <c r="D219" s="1" t="str" cm="1">
        <f t="array" ref="D219">Common_InputFunctions.Utility_DisplayArrayInTable(Common_SourceData.Common_SourceData_MonthsToSeasons_Data(), Table_SourceData_Common_MonthToSeason[[#Headers],[Month]], 0)</f>
        <v>July</v>
      </c>
      <c r="E219" s="19" t="str" cm="1">
        <f t="array" ref="E219">Common_InputFunctions.Utility_DisplayArrayInTable(Common_SourceData.Common_SourceData_MonthsToSeasons_Data(), Table_SourceData_Common_MonthToSeason[[#Headers],[Month]], 0)</f>
        <v>Winter</v>
      </c>
    </row>
    <row r="220" spans="1:5" ht="20.100000000000001" customHeight="1" x14ac:dyDescent="0.2">
      <c r="A220"/>
      <c r="D220" s="1" t="str" cm="1">
        <f t="array" ref="D220">Common_InputFunctions.Utility_DisplayArrayInTable(Common_SourceData.Common_SourceData_MonthsToSeasons_Data(), Table_SourceData_Common_MonthToSeason[[#Headers],[Month]], 0)</f>
        <v>August</v>
      </c>
      <c r="E220" s="19" t="str" cm="1">
        <f t="array" ref="E220">Common_InputFunctions.Utility_DisplayArrayInTable(Common_SourceData.Common_SourceData_MonthsToSeasons_Data(), Table_SourceData_Common_MonthToSeason[[#Headers],[Month]], 0)</f>
        <v>Winter</v>
      </c>
    </row>
    <row r="221" spans="1:5" ht="20.100000000000001" customHeight="1" x14ac:dyDescent="0.2">
      <c r="A221"/>
      <c r="D221" s="1" t="str" cm="1">
        <f t="array" ref="D221">Common_InputFunctions.Utility_DisplayArrayInTable(Common_SourceData.Common_SourceData_MonthsToSeasons_Data(), Table_SourceData_Common_MonthToSeason[[#Headers],[Month]], 0)</f>
        <v>September</v>
      </c>
      <c r="E221" s="19" t="str" cm="1">
        <f t="array" ref="E221">Common_InputFunctions.Utility_DisplayArrayInTable(Common_SourceData.Common_SourceData_MonthsToSeasons_Data(), Table_SourceData_Common_MonthToSeason[[#Headers],[Month]], 0)</f>
        <v>Spring</v>
      </c>
    </row>
    <row r="222" spans="1:5" ht="20.100000000000001" customHeight="1" x14ac:dyDescent="0.2">
      <c r="A222"/>
      <c r="D222" s="1" t="str" cm="1">
        <f t="array" ref="D222">Common_InputFunctions.Utility_DisplayArrayInTable(Common_SourceData.Common_SourceData_MonthsToSeasons_Data(), Table_SourceData_Common_MonthToSeason[[#Headers],[Month]], 0)</f>
        <v>October</v>
      </c>
      <c r="E222" s="19" t="str" cm="1">
        <f t="array" ref="E222">Common_InputFunctions.Utility_DisplayArrayInTable(Common_SourceData.Common_SourceData_MonthsToSeasons_Data(), Table_SourceData_Common_MonthToSeason[[#Headers],[Month]], 0)</f>
        <v>Spring</v>
      </c>
    </row>
    <row r="223" spans="1:5" ht="20.100000000000001" customHeight="1" x14ac:dyDescent="0.2">
      <c r="A223"/>
      <c r="D223" s="1" t="str" cm="1">
        <f t="array" ref="D223">Common_InputFunctions.Utility_DisplayArrayInTable(Common_SourceData.Common_SourceData_MonthsToSeasons_Data(), Table_SourceData_Common_MonthToSeason[[#Headers],[Month]], 0)</f>
        <v>November</v>
      </c>
      <c r="E223" s="19" t="str" cm="1">
        <f t="array" ref="E223">Common_InputFunctions.Utility_DisplayArrayInTable(Common_SourceData.Common_SourceData_MonthsToSeasons_Data(), Table_SourceData_Common_MonthToSeason[[#Headers],[Month]], 0)</f>
        <v>Spring</v>
      </c>
    </row>
    <row r="224" spans="1:5" ht="20.100000000000001" customHeight="1" x14ac:dyDescent="0.2">
      <c r="A224"/>
      <c r="D224" s="1" t="str" cm="1">
        <f t="array" ref="D224">Common_InputFunctions.Utility_DisplayArrayInTable(Common_SourceData.Common_SourceData_MonthsToSeasons_Data(), Table_SourceData_Common_MonthToSeason[[#Headers],[Month]], 0)</f>
        <v>December</v>
      </c>
      <c r="E224" s="19" t="str" cm="1">
        <f t="array" ref="E224">Common_InputFunctions.Utility_DisplayArrayInTable(Common_SourceData.Common_SourceData_MonthsToSeasons_Data(), Table_SourceData_Common_MonthToSeason[[#Headers],[Month]], 0)</f>
        <v>Summer</v>
      </c>
    </row>
    <row r="225" spans="1:19" ht="20.100000000000001" customHeight="1" x14ac:dyDescent="0.2">
      <c r="A225"/>
    </row>
    <row r="226" spans="1:19" ht="20.100000000000001" customHeight="1" x14ac:dyDescent="0.2">
      <c r="A226"/>
    </row>
    <row r="227" spans="1:19" ht="20.100000000000001" customHeight="1" x14ac:dyDescent="0.2">
      <c r="A227"/>
      <c r="D227" s="2" t="str" cm="1">
        <f t="array" ref="D227">Common_SourceData.Common_SourceData_MCFTemperatureZone_Title()</f>
        <v>Manure Management – Methane conversion factor per temperature zone (fraction) (MCFim)</v>
      </c>
    </row>
    <row r="228" spans="1:19" ht="20.100000000000001" customHeight="1" x14ac:dyDescent="0.2">
      <c r="A228"/>
      <c r="D228" s="17" t="str" cm="1">
        <f t="array" ref="D228">Common_SourceData.Common_SourceData_MCFTemperatureZone_Source()</f>
        <v>VEERG 2026: Table A.1.8.1</v>
      </c>
    </row>
    <row r="229" spans="1:19" ht="20.100000000000001" customHeight="1" x14ac:dyDescent="0.2">
      <c r="A229"/>
      <c r="D229" s="2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0" spans="1:19" ht="20.100000000000001" customHeight="1" x14ac:dyDescent="0.2">
      <c r="A230"/>
    </row>
    <row r="231" spans="1:19" ht="20.100000000000001" customHeight="1" x14ac:dyDescent="0.2">
      <c r="A231"/>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1:19" ht="20.100000000000001" customHeight="1" x14ac:dyDescent="0.2">
      <c r="A232"/>
      <c r="D232" s="19" t="str" cm="1">
        <f t="array" ref="D232">Common_InputFunctions.Utility_DisplayArrayInTable(Common_SourceData.Common_SourceData_MCFTemperatureZone_Data(),Table_SourceData_Common_MCFTemperatureZone[[#Headers],[Temperature zone]],0)</f>
        <v>Cool</v>
      </c>
      <c r="E232" s="19" t="str" cm="1">
        <f t="array" ref="E232">Common_InputFunctions.Utility_DisplayArrayInTable(Common_SourceData.Common_SourceData_MCFTemperatureZone_Data(),Table_SourceData_Common_MCFTemperatureZone[[#Headers],[Temperature zone]],0)</f>
        <v>≤10</v>
      </c>
      <c r="F232" s="19" cm="1">
        <f t="array" ref="F232">Common_InputFunctions.Utility_DisplayArrayInTable(Common_SourceData.Common_SourceData_MCFTemperatureZone_Data(),Table_SourceData_Common_MCFTemperatureZone[[#Headers],[Temperature zone]],0)</f>
        <v>0.66</v>
      </c>
      <c r="G232" s="19" cm="1">
        <f t="array" ref="G232">Common_InputFunctions.Utility_DisplayArrayInTable(Common_SourceData.Common_SourceData_MCFTemperatureZone_Data(),Table_SourceData_Common_MCFTemperatureZone[[#Headers],[Temperature zone]],0)</f>
        <v>0.1</v>
      </c>
      <c r="H232" s="19" cm="1">
        <f t="array" ref="H232">Common_InputFunctions.Utility_DisplayArrayInTable(Common_SourceData.Common_SourceData_MCFTemperatureZone_Data(),Table_SourceData_Common_MCFTemperatureZone[[#Headers],[Temperature zone]],0)</f>
        <v>0.1</v>
      </c>
      <c r="I232" s="19" cm="1">
        <f t="array" ref="I232">Common_InputFunctions.Utility_DisplayArrayInTable(Common_SourceData.Common_SourceData_MCFTemperatureZone_Data(),Table_SourceData_Common_MCFTemperatureZone[[#Headers],[Temperature zone]],0)</f>
        <v>1E-3</v>
      </c>
      <c r="J232" s="19" cm="1">
        <f t="array" ref="J232">Common_InputFunctions.Utility_DisplayArrayInTable(Common_SourceData.Common_SourceData_MCFTemperatureZone_Data(),Table_SourceData_Common_MCFTemperatureZone[[#Headers],[Temperature zone]],0)</f>
        <v>5.0000000000000001E-3</v>
      </c>
      <c r="K232" s="19" cm="1">
        <f t="array" ref="K232">Common_InputFunctions.Utility_DisplayArrayInTable(Common_SourceData.Common_SourceData_MCFTemperatureZone_Data(),Table_SourceData_Common_MCFTemperatureZone[[#Headers],[Temperature zone]],0)</f>
        <v>0.02</v>
      </c>
      <c r="L232" s="19" cm="1">
        <f t="array" ref="L232">Common_InputFunctions.Utility_DisplayArrayInTable(Common_SourceData.Common_SourceData_MCFTemperatureZone_Data(),Table_SourceData_Common_MCFTemperatureZone[[#Headers],[Temperature zone]],0)</f>
        <v>0.03</v>
      </c>
      <c r="M232" s="19" cm="1">
        <f t="array" ref="M232">Common_InputFunctions.Utility_DisplayArrayInTable(Common_SourceData.Common_SourceData_MCFTemperatureZone_Data(),Table_SourceData_Common_MCFTemperatureZone[[#Headers],[Temperature zone]],0)</f>
        <v>0.04</v>
      </c>
      <c r="N232" s="19" cm="1">
        <f t="array" ref="N232">Common_InputFunctions.Utility_DisplayArrayInTable(Common_SourceData.Common_SourceData_MCFTemperatureZone_Data(),Table_SourceData_Common_MCFTemperatureZone[[#Headers],[Temperature zone]],0)</f>
        <v>1.4999999999999999E-2</v>
      </c>
      <c r="O232" s="19" cm="1">
        <f t="array" ref="O232">Common_InputFunctions.Utility_DisplayArrayInTable(Common_SourceData.Common_SourceData_MCFTemperatureZone_Data(),Table_SourceData_Common_MCFTemperatureZone[[#Headers],[Temperature zone]],0)</f>
        <v>1.4999999999999999E-2</v>
      </c>
      <c r="P232" s="19" cm="1">
        <f t="array" ref="P232">Common_InputFunctions.Utility_DisplayArrayInTable(Common_SourceData.Common_SourceData_MCFTemperatureZone_Data(),Table_SourceData_Common_MCFTemperatureZone[[#Headers],[Temperature zone]],0)</f>
        <v>0</v>
      </c>
      <c r="Q232" s="19" cm="1">
        <f t="array" ref="Q232">Common_InputFunctions.Utility_DisplayArrayInTable(Common_SourceData.Common_SourceData_MCFTemperatureZone_Data(),Table_SourceData_Common_MCFTemperatureZone[[#Headers],[Temperature zone]],0)</f>
        <v>0</v>
      </c>
      <c r="R232" s="19" cm="1">
        <f t="array" ref="R232">Common_InputFunctions.Utility_DisplayArrayInTable(Common_SourceData.Common_SourceData_MCFTemperatureZone_Data(),Table_SourceData_Common_MCFTemperatureZone[[#Headers],[Temperature zone]],0)</f>
        <v>4.7000000000000002E-3</v>
      </c>
      <c r="S232" s="19" cm="1">
        <f t="array" ref="S232">Common_InputFunctions.Utility_DisplayArrayInTable(Common_SourceData.Common_SourceData_MCFTemperatureZone_Data(),Table_SourceData_Common_MCFTemperatureZone[[#Headers],[Temperature zone]],0)</f>
        <v>10</v>
      </c>
    </row>
    <row r="233" spans="1:19" ht="20.100000000000001" customHeight="1" x14ac:dyDescent="0.2">
      <c r="A233"/>
      <c r="D233" s="1" t="str" cm="1">
        <f t="array" ref="D233">Common_InputFunctions.Utility_DisplayArrayInTable(Common_SourceData.Common_SourceData_MCFTemperatureZone_Data(),Table_SourceData_Common_MCFTemperatureZone[[#Headers],[Temperature zone]],0)</f>
        <v>Cool</v>
      </c>
      <c r="E233" s="19" cm="1">
        <f t="array" ref="E233">Common_InputFunctions.Utility_DisplayArrayInTable(Common_SourceData.Common_SourceData_MCFTemperatureZone_Data(),Table_SourceData_Common_MCFTemperatureZone[[#Headers],[Temperature zone]],0)</f>
        <v>11</v>
      </c>
      <c r="F233" s="19" cm="1">
        <f t="array" ref="F233">Common_InputFunctions.Utility_DisplayArrayInTable(Common_SourceData.Common_SourceData_MCFTemperatureZone_Data(),Table_SourceData_Common_MCFTemperatureZone[[#Headers],[Temperature zone]],0)</f>
        <v>0.68</v>
      </c>
      <c r="G233" s="19" cm="1">
        <f t="array" ref="G233">Common_InputFunctions.Utility_DisplayArrayInTable(Common_SourceData.Common_SourceData_MCFTemperatureZone_Data(),Table_SourceData_Common_MCFTemperatureZone[[#Headers],[Temperature zone]],0)</f>
        <v>0.1</v>
      </c>
      <c r="H233" s="19" cm="1">
        <f t="array" ref="H233">Common_InputFunctions.Utility_DisplayArrayInTable(Common_SourceData.Common_SourceData_MCFTemperatureZone_Data(),Table_SourceData_Common_MCFTemperatureZone[[#Headers],[Temperature zone]],0)</f>
        <v>0.11</v>
      </c>
      <c r="I233" s="19" cm="1">
        <f t="array" ref="I233">Common_InputFunctions.Utility_DisplayArrayInTable(Common_SourceData.Common_SourceData_MCFTemperatureZone_Data(),Table_SourceData_Common_MCFTemperatureZone[[#Headers],[Temperature zone]],0)</f>
        <v>1E-3</v>
      </c>
      <c r="J233" s="19" cm="1">
        <f t="array" ref="J233">Common_InputFunctions.Utility_DisplayArrayInTable(Common_SourceData.Common_SourceData_MCFTemperatureZone_Data(),Table_SourceData_Common_MCFTemperatureZone[[#Headers],[Temperature zone]],0)</f>
        <v>5.0000000000000001E-3</v>
      </c>
      <c r="K233" s="19" cm="1">
        <f t="array" ref="K233">Common_InputFunctions.Utility_DisplayArrayInTable(Common_SourceData.Common_SourceData_MCFTemperatureZone_Data(),Table_SourceData_Common_MCFTemperatureZone[[#Headers],[Temperature zone]],0)</f>
        <v>0.02</v>
      </c>
      <c r="L233" s="19" cm="1">
        <f t="array" ref="L233">Common_InputFunctions.Utility_DisplayArrayInTable(Common_SourceData.Common_SourceData_MCFTemperatureZone_Data(),Table_SourceData_Common_MCFTemperatureZone[[#Headers],[Temperature zone]],0)</f>
        <v>0.03</v>
      </c>
      <c r="M233" s="19" cm="1">
        <f t="array" ref="M233">Common_InputFunctions.Utility_DisplayArrayInTable(Common_SourceData.Common_SourceData_MCFTemperatureZone_Data(),Table_SourceData_Common_MCFTemperatureZone[[#Headers],[Temperature zone]],0)</f>
        <v>0.04</v>
      </c>
      <c r="N233" s="19" cm="1">
        <f t="array" ref="N233">Common_InputFunctions.Utility_DisplayArrayInTable(Common_SourceData.Common_SourceData_MCFTemperatureZone_Data(),Table_SourceData_Common_MCFTemperatureZone[[#Headers],[Temperature zone]],0)</f>
        <v>1.4999999999999999E-2</v>
      </c>
      <c r="O233" s="19" cm="1">
        <f t="array" ref="O233">Common_InputFunctions.Utility_DisplayArrayInTable(Common_SourceData.Common_SourceData_MCFTemperatureZone_Data(),Table_SourceData_Common_MCFTemperatureZone[[#Headers],[Temperature zone]],0)</f>
        <v>1.4999999999999999E-2</v>
      </c>
      <c r="P233" s="19" cm="1">
        <f t="array" ref="P233">Common_InputFunctions.Utility_DisplayArrayInTable(Common_SourceData.Common_SourceData_MCFTemperatureZone_Data(),Table_SourceData_Common_MCFTemperatureZone[[#Headers],[Temperature zone]],0)</f>
        <v>0</v>
      </c>
      <c r="Q233" s="19" cm="1">
        <f t="array" ref="Q233">Common_InputFunctions.Utility_DisplayArrayInTable(Common_SourceData.Common_SourceData_MCFTemperatureZone_Data(),Table_SourceData_Common_MCFTemperatureZone[[#Headers],[Temperature zone]],0)</f>
        <v>0</v>
      </c>
      <c r="R233" s="19" cm="1">
        <f t="array" ref="R233">Common_InputFunctions.Utility_DisplayArrayInTable(Common_SourceData.Common_SourceData_MCFTemperatureZone_Data(),Table_SourceData_Common_MCFTemperatureZone[[#Headers],[Temperature zone]],0)</f>
        <v>4.7000000000000002E-3</v>
      </c>
      <c r="S233" s="19" cm="1">
        <f t="array" ref="S233">Common_InputFunctions.Utility_DisplayArrayInTable(Common_SourceData.Common_SourceData_MCFTemperatureZone_Data(),Table_SourceData_Common_MCFTemperatureZone[[#Headers],[Temperature zone]],0)</f>
        <v>11</v>
      </c>
    </row>
    <row r="234" spans="1:19" ht="20.100000000000001" customHeight="1" x14ac:dyDescent="0.2">
      <c r="A234"/>
      <c r="D234" s="1" t="str" cm="1">
        <f t="array" ref="D234">Common_InputFunctions.Utility_DisplayArrayInTable(Common_SourceData.Common_SourceData_MCFTemperatureZone_Data(),Table_SourceData_Common_MCFTemperatureZone[[#Headers],[Temperature zone]],0)</f>
        <v>Cool</v>
      </c>
      <c r="E234" s="19" cm="1">
        <f t="array" ref="E234">Common_InputFunctions.Utility_DisplayArrayInTable(Common_SourceData.Common_SourceData_MCFTemperatureZone_Data(),Table_SourceData_Common_MCFTemperatureZone[[#Headers],[Temperature zone]],0)</f>
        <v>12</v>
      </c>
      <c r="F234" s="19" cm="1">
        <f t="array" ref="F234">Common_InputFunctions.Utility_DisplayArrayInTable(Common_SourceData.Common_SourceData_MCFTemperatureZone_Data(),Table_SourceData_Common_MCFTemperatureZone[[#Headers],[Temperature zone]],0)</f>
        <v>0.7</v>
      </c>
      <c r="G234" s="19" cm="1">
        <f t="array" ref="G234">Common_InputFunctions.Utility_DisplayArrayInTable(Common_SourceData.Common_SourceData_MCFTemperatureZone_Data(),Table_SourceData_Common_MCFTemperatureZone[[#Headers],[Temperature zone]],0)</f>
        <v>0.1</v>
      </c>
      <c r="H234" s="19" cm="1">
        <f t="array" ref="H234">Common_InputFunctions.Utility_DisplayArrayInTable(Common_SourceData.Common_SourceData_MCFTemperatureZone_Data(),Table_SourceData_Common_MCFTemperatureZone[[#Headers],[Temperature zone]],0)</f>
        <v>0.13</v>
      </c>
      <c r="I234" s="19" cm="1">
        <f t="array" ref="I234">Common_InputFunctions.Utility_DisplayArrayInTable(Common_SourceData.Common_SourceData_MCFTemperatureZone_Data(),Table_SourceData_Common_MCFTemperatureZone[[#Headers],[Temperature zone]],0)</f>
        <v>1E-3</v>
      </c>
      <c r="J234" s="19" cm="1">
        <f t="array" ref="J234">Common_InputFunctions.Utility_DisplayArrayInTable(Common_SourceData.Common_SourceData_MCFTemperatureZone_Data(),Table_SourceData_Common_MCFTemperatureZone[[#Headers],[Temperature zone]],0)</f>
        <v>5.0000000000000001E-3</v>
      </c>
      <c r="K234" s="19" cm="1">
        <f t="array" ref="K234">Common_InputFunctions.Utility_DisplayArrayInTable(Common_SourceData.Common_SourceData_MCFTemperatureZone_Data(),Table_SourceData_Common_MCFTemperatureZone[[#Headers],[Temperature zone]],0)</f>
        <v>0.02</v>
      </c>
      <c r="L234" s="19" cm="1">
        <f t="array" ref="L234">Common_InputFunctions.Utility_DisplayArrayInTable(Common_SourceData.Common_SourceData_MCFTemperatureZone_Data(),Table_SourceData_Common_MCFTemperatureZone[[#Headers],[Temperature zone]],0)</f>
        <v>0.03</v>
      </c>
      <c r="M234" s="19" cm="1">
        <f t="array" ref="M234">Common_InputFunctions.Utility_DisplayArrayInTable(Common_SourceData.Common_SourceData_MCFTemperatureZone_Data(),Table_SourceData_Common_MCFTemperatureZone[[#Headers],[Temperature zone]],0)</f>
        <v>0.04</v>
      </c>
      <c r="N234" s="19" cm="1">
        <f t="array" ref="N234">Common_InputFunctions.Utility_DisplayArrayInTable(Common_SourceData.Common_SourceData_MCFTemperatureZone_Data(),Table_SourceData_Common_MCFTemperatureZone[[#Headers],[Temperature zone]],0)</f>
        <v>1.4999999999999999E-2</v>
      </c>
      <c r="O234" s="19" cm="1">
        <f t="array" ref="O234">Common_InputFunctions.Utility_DisplayArrayInTable(Common_SourceData.Common_SourceData_MCFTemperatureZone_Data(),Table_SourceData_Common_MCFTemperatureZone[[#Headers],[Temperature zone]],0)</f>
        <v>1.4999999999999999E-2</v>
      </c>
      <c r="P234" s="19" cm="1">
        <f t="array" ref="P234">Common_InputFunctions.Utility_DisplayArrayInTable(Common_SourceData.Common_SourceData_MCFTemperatureZone_Data(),Table_SourceData_Common_MCFTemperatureZone[[#Headers],[Temperature zone]],0)</f>
        <v>0</v>
      </c>
      <c r="Q234" s="19" cm="1">
        <f t="array" ref="Q234">Common_InputFunctions.Utility_DisplayArrayInTable(Common_SourceData.Common_SourceData_MCFTemperatureZone_Data(),Table_SourceData_Common_MCFTemperatureZone[[#Headers],[Temperature zone]],0)</f>
        <v>0</v>
      </c>
      <c r="R234" s="19" cm="1">
        <f t="array" ref="R234">Common_InputFunctions.Utility_DisplayArrayInTable(Common_SourceData.Common_SourceData_MCFTemperatureZone_Data(),Table_SourceData_Common_MCFTemperatureZone[[#Headers],[Temperature zone]],0)</f>
        <v>4.7000000000000002E-3</v>
      </c>
      <c r="S234" s="19" cm="1">
        <f t="array" ref="S234">Common_InputFunctions.Utility_DisplayArrayInTable(Common_SourceData.Common_SourceData_MCFTemperatureZone_Data(),Table_SourceData_Common_MCFTemperatureZone[[#Headers],[Temperature zone]],0)</f>
        <v>12</v>
      </c>
    </row>
    <row r="235" spans="1:19" ht="20.100000000000001" customHeight="1" x14ac:dyDescent="0.2">
      <c r="A235"/>
      <c r="D235" s="1" t="str" cm="1">
        <f t="array" ref="D235">Common_InputFunctions.Utility_DisplayArrayInTable(Common_SourceData.Common_SourceData_MCFTemperatureZone_Data(),Table_SourceData_Common_MCFTemperatureZone[[#Headers],[Temperature zone]],0)</f>
        <v>Cool</v>
      </c>
      <c r="E235" s="19" cm="1">
        <f t="array" ref="E235">Common_InputFunctions.Utility_DisplayArrayInTable(Common_SourceData.Common_SourceData_MCFTemperatureZone_Data(),Table_SourceData_Common_MCFTemperatureZone[[#Headers],[Temperature zone]],0)</f>
        <v>13</v>
      </c>
      <c r="F235" s="19" cm="1">
        <f t="array" ref="F235">Common_InputFunctions.Utility_DisplayArrayInTable(Common_SourceData.Common_SourceData_MCFTemperatureZone_Data(),Table_SourceData_Common_MCFTemperatureZone[[#Headers],[Temperature zone]],0)</f>
        <v>0.71</v>
      </c>
      <c r="G235" s="19" cm="1">
        <f t="array" ref="G235">Common_InputFunctions.Utility_DisplayArrayInTable(Common_SourceData.Common_SourceData_MCFTemperatureZone_Data(),Table_SourceData_Common_MCFTemperatureZone[[#Headers],[Temperature zone]],0)</f>
        <v>0.1</v>
      </c>
      <c r="H235" s="19" cm="1">
        <f t="array" ref="H235">Common_InputFunctions.Utility_DisplayArrayInTable(Common_SourceData.Common_SourceData_MCFTemperatureZone_Data(),Table_SourceData_Common_MCFTemperatureZone[[#Headers],[Temperature zone]],0)</f>
        <v>0.14000000000000001</v>
      </c>
      <c r="I235" s="19" cm="1">
        <f t="array" ref="I235">Common_InputFunctions.Utility_DisplayArrayInTable(Common_SourceData.Common_SourceData_MCFTemperatureZone_Data(),Table_SourceData_Common_MCFTemperatureZone[[#Headers],[Temperature zone]],0)</f>
        <v>1E-3</v>
      </c>
      <c r="J235" s="19" cm="1">
        <f t="array" ref="J235">Common_InputFunctions.Utility_DisplayArrayInTable(Common_SourceData.Common_SourceData_MCFTemperatureZone_Data(),Table_SourceData_Common_MCFTemperatureZone[[#Headers],[Temperature zone]],0)</f>
        <v>5.0000000000000001E-3</v>
      </c>
      <c r="K235" s="19" cm="1">
        <f t="array" ref="K235">Common_InputFunctions.Utility_DisplayArrayInTable(Common_SourceData.Common_SourceData_MCFTemperatureZone_Data(),Table_SourceData_Common_MCFTemperatureZone[[#Headers],[Temperature zone]],0)</f>
        <v>0.02</v>
      </c>
      <c r="L235" s="19" cm="1">
        <f t="array" ref="L235">Common_InputFunctions.Utility_DisplayArrayInTable(Common_SourceData.Common_SourceData_MCFTemperatureZone_Data(),Table_SourceData_Common_MCFTemperatureZone[[#Headers],[Temperature zone]],0)</f>
        <v>0.03</v>
      </c>
      <c r="M235" s="19" cm="1">
        <f t="array" ref="M235">Common_InputFunctions.Utility_DisplayArrayInTable(Common_SourceData.Common_SourceData_MCFTemperatureZone_Data(),Table_SourceData_Common_MCFTemperatureZone[[#Headers],[Temperature zone]],0)</f>
        <v>0.04</v>
      </c>
      <c r="N235" s="19" cm="1">
        <f t="array" ref="N235">Common_InputFunctions.Utility_DisplayArrayInTable(Common_SourceData.Common_SourceData_MCFTemperatureZone_Data(),Table_SourceData_Common_MCFTemperatureZone[[#Headers],[Temperature zone]],0)</f>
        <v>1.4999999999999999E-2</v>
      </c>
      <c r="O235" s="19" cm="1">
        <f t="array" ref="O235">Common_InputFunctions.Utility_DisplayArrayInTable(Common_SourceData.Common_SourceData_MCFTemperatureZone_Data(),Table_SourceData_Common_MCFTemperatureZone[[#Headers],[Temperature zone]],0)</f>
        <v>1.4999999999999999E-2</v>
      </c>
      <c r="P235" s="19" cm="1">
        <f t="array" ref="P235">Common_InputFunctions.Utility_DisplayArrayInTable(Common_SourceData.Common_SourceData_MCFTemperatureZone_Data(),Table_SourceData_Common_MCFTemperatureZone[[#Headers],[Temperature zone]],0)</f>
        <v>0</v>
      </c>
      <c r="Q235" s="19" cm="1">
        <f t="array" ref="Q235">Common_InputFunctions.Utility_DisplayArrayInTable(Common_SourceData.Common_SourceData_MCFTemperatureZone_Data(),Table_SourceData_Common_MCFTemperatureZone[[#Headers],[Temperature zone]],0)</f>
        <v>0</v>
      </c>
      <c r="R235" s="19" cm="1">
        <f t="array" ref="R235">Common_InputFunctions.Utility_DisplayArrayInTable(Common_SourceData.Common_SourceData_MCFTemperatureZone_Data(),Table_SourceData_Common_MCFTemperatureZone[[#Headers],[Temperature zone]],0)</f>
        <v>4.7000000000000002E-3</v>
      </c>
      <c r="S235" s="19" cm="1">
        <f t="array" ref="S235">Common_InputFunctions.Utility_DisplayArrayInTable(Common_SourceData.Common_SourceData_MCFTemperatureZone_Data(),Table_SourceData_Common_MCFTemperatureZone[[#Headers],[Temperature zone]],0)</f>
        <v>13</v>
      </c>
    </row>
    <row r="236" spans="1:19" ht="20.100000000000001" customHeight="1" x14ac:dyDescent="0.2">
      <c r="A236"/>
      <c r="D236" s="1" t="str" cm="1">
        <f t="array" ref="D236">Common_InputFunctions.Utility_DisplayArrayInTable(Common_SourceData.Common_SourceData_MCFTemperatureZone_Data(),Table_SourceData_Common_MCFTemperatureZone[[#Headers],[Temperature zone]],0)</f>
        <v>Cool</v>
      </c>
      <c r="E236" s="19" cm="1">
        <f t="array" ref="E236">Common_InputFunctions.Utility_DisplayArrayInTable(Common_SourceData.Common_SourceData_MCFTemperatureZone_Data(),Table_SourceData_Common_MCFTemperatureZone[[#Headers],[Temperature zone]],0)</f>
        <v>14</v>
      </c>
      <c r="F236" s="19" cm="1">
        <f t="array" ref="F236">Common_InputFunctions.Utility_DisplayArrayInTable(Common_SourceData.Common_SourceData_MCFTemperatureZone_Data(),Table_SourceData_Common_MCFTemperatureZone[[#Headers],[Temperature zone]],0)</f>
        <v>0.73</v>
      </c>
      <c r="G236" s="19" cm="1">
        <f t="array" ref="G236">Common_InputFunctions.Utility_DisplayArrayInTable(Common_SourceData.Common_SourceData_MCFTemperatureZone_Data(),Table_SourceData_Common_MCFTemperatureZone[[#Headers],[Temperature zone]],0)</f>
        <v>0.1</v>
      </c>
      <c r="H236" s="19" cm="1">
        <f t="array" ref="H236">Common_InputFunctions.Utility_DisplayArrayInTable(Common_SourceData.Common_SourceData_MCFTemperatureZone_Data(),Table_SourceData_Common_MCFTemperatureZone[[#Headers],[Temperature zone]],0)</f>
        <v>0.15</v>
      </c>
      <c r="I236" s="19" cm="1">
        <f t="array" ref="I236">Common_InputFunctions.Utility_DisplayArrayInTable(Common_SourceData.Common_SourceData_MCFTemperatureZone_Data(),Table_SourceData_Common_MCFTemperatureZone[[#Headers],[Temperature zone]],0)</f>
        <v>1E-3</v>
      </c>
      <c r="J236" s="19" cm="1">
        <f t="array" ref="J236">Common_InputFunctions.Utility_DisplayArrayInTable(Common_SourceData.Common_SourceData_MCFTemperatureZone_Data(),Table_SourceData_Common_MCFTemperatureZone[[#Headers],[Temperature zone]],0)</f>
        <v>5.0000000000000001E-3</v>
      </c>
      <c r="K236" s="19" cm="1">
        <f t="array" ref="K236">Common_InputFunctions.Utility_DisplayArrayInTable(Common_SourceData.Common_SourceData_MCFTemperatureZone_Data(),Table_SourceData_Common_MCFTemperatureZone[[#Headers],[Temperature zone]],0)</f>
        <v>0.02</v>
      </c>
      <c r="L236" s="19" cm="1">
        <f t="array" ref="L236">Common_InputFunctions.Utility_DisplayArrayInTable(Common_SourceData.Common_SourceData_MCFTemperatureZone_Data(),Table_SourceData_Common_MCFTemperatureZone[[#Headers],[Temperature zone]],0)</f>
        <v>0.03</v>
      </c>
      <c r="M236" s="19" cm="1">
        <f t="array" ref="M236">Common_InputFunctions.Utility_DisplayArrayInTable(Common_SourceData.Common_SourceData_MCFTemperatureZone_Data(),Table_SourceData_Common_MCFTemperatureZone[[#Headers],[Temperature zone]],0)</f>
        <v>0.04</v>
      </c>
      <c r="N236" s="19" cm="1">
        <f t="array" ref="N236">Common_InputFunctions.Utility_DisplayArrayInTable(Common_SourceData.Common_SourceData_MCFTemperatureZone_Data(),Table_SourceData_Common_MCFTemperatureZone[[#Headers],[Temperature zone]],0)</f>
        <v>1.4999999999999999E-2</v>
      </c>
      <c r="O236" s="19" cm="1">
        <f t="array" ref="O236">Common_InputFunctions.Utility_DisplayArrayInTable(Common_SourceData.Common_SourceData_MCFTemperatureZone_Data(),Table_SourceData_Common_MCFTemperatureZone[[#Headers],[Temperature zone]],0)</f>
        <v>1.4999999999999999E-2</v>
      </c>
      <c r="P236" s="19" cm="1">
        <f t="array" ref="P236">Common_InputFunctions.Utility_DisplayArrayInTable(Common_SourceData.Common_SourceData_MCFTemperatureZone_Data(),Table_SourceData_Common_MCFTemperatureZone[[#Headers],[Temperature zone]],0)</f>
        <v>0</v>
      </c>
      <c r="Q236" s="19" cm="1">
        <f t="array" ref="Q236">Common_InputFunctions.Utility_DisplayArrayInTable(Common_SourceData.Common_SourceData_MCFTemperatureZone_Data(),Table_SourceData_Common_MCFTemperatureZone[[#Headers],[Temperature zone]],0)</f>
        <v>0</v>
      </c>
      <c r="R236" s="19" cm="1">
        <f t="array" ref="R236">Common_InputFunctions.Utility_DisplayArrayInTable(Common_SourceData.Common_SourceData_MCFTemperatureZone_Data(),Table_SourceData_Common_MCFTemperatureZone[[#Headers],[Temperature zone]],0)</f>
        <v>4.7000000000000002E-3</v>
      </c>
      <c r="S236" s="19" cm="1">
        <f t="array" ref="S236">Common_InputFunctions.Utility_DisplayArrayInTable(Common_SourceData.Common_SourceData_MCFTemperatureZone_Data(),Table_SourceData_Common_MCFTemperatureZone[[#Headers],[Temperature zone]],0)</f>
        <v>14</v>
      </c>
    </row>
    <row r="237" spans="1:19" ht="20.100000000000001" customHeight="1" x14ac:dyDescent="0.2">
      <c r="A237"/>
      <c r="D237" s="1" t="str" cm="1">
        <f t="array" ref="D237">Common_InputFunctions.Utility_DisplayArrayInTable(Common_SourceData.Common_SourceData_MCFTemperatureZone_Data(),Table_SourceData_Common_MCFTemperatureZone[[#Headers],[Temperature zone]],0)</f>
        <v>Temperate</v>
      </c>
      <c r="E237" s="19" cm="1">
        <f t="array" ref="E237">Common_InputFunctions.Utility_DisplayArrayInTable(Common_SourceData.Common_SourceData_MCFTemperatureZone_Data(),Table_SourceData_Common_MCFTemperatureZone[[#Headers],[Temperature zone]],0)</f>
        <v>15</v>
      </c>
      <c r="F237" s="19" cm="1">
        <f t="array" ref="F237">Common_InputFunctions.Utility_DisplayArrayInTable(Common_SourceData.Common_SourceData_MCFTemperatureZone_Data(),Table_SourceData_Common_MCFTemperatureZone[[#Headers],[Temperature zone]],0)</f>
        <v>0.74</v>
      </c>
      <c r="G237" s="19" cm="1">
        <f t="array" ref="G237">Common_InputFunctions.Utility_DisplayArrayInTable(Common_SourceData.Common_SourceData_MCFTemperatureZone_Data(),Table_SourceData_Common_MCFTemperatureZone[[#Headers],[Temperature zone]],0)</f>
        <v>0.1</v>
      </c>
      <c r="H237" s="19" cm="1">
        <f t="array" ref="H237">Common_InputFunctions.Utility_DisplayArrayInTable(Common_SourceData.Common_SourceData_MCFTemperatureZone_Data(),Table_SourceData_Common_MCFTemperatureZone[[#Headers],[Temperature zone]],0)</f>
        <v>0.17</v>
      </c>
      <c r="I237" s="19" cm="1">
        <f t="array" ref="I237">Common_InputFunctions.Utility_DisplayArrayInTable(Common_SourceData.Common_SourceData_MCFTemperatureZone_Data(),Table_SourceData_Common_MCFTemperatureZone[[#Headers],[Temperature zone]],0)</f>
        <v>5.0000000000000001E-3</v>
      </c>
      <c r="J237" s="19" cm="1">
        <f t="array" ref="J237">Common_InputFunctions.Utility_DisplayArrayInTable(Common_SourceData.Common_SourceData_MCFTemperatureZone_Data(),Table_SourceData_Common_MCFTemperatureZone[[#Headers],[Temperature zone]],0)</f>
        <v>0.01</v>
      </c>
      <c r="K237" s="19" cm="1">
        <f t="array" ref="K237">Common_InputFunctions.Utility_DisplayArrayInTable(Common_SourceData.Common_SourceData_MCFTemperatureZone_Data(),Table_SourceData_Common_MCFTemperatureZone[[#Headers],[Temperature zone]],0)</f>
        <v>0.02</v>
      </c>
      <c r="L237" s="19" cm="1">
        <f t="array" ref="L237">Common_InputFunctions.Utility_DisplayArrayInTable(Common_SourceData.Common_SourceData_MCFTemperatureZone_Data(),Table_SourceData_Common_MCFTemperatureZone[[#Headers],[Temperature zone]],0)</f>
        <v>0.03</v>
      </c>
      <c r="M237" s="19" cm="1">
        <f t="array" ref="M237">Common_InputFunctions.Utility_DisplayArrayInTable(Common_SourceData.Common_SourceData_MCFTemperatureZone_Data(),Table_SourceData_Common_MCFTemperatureZone[[#Headers],[Temperature zone]],0)</f>
        <v>0.04</v>
      </c>
      <c r="N237" s="19" cm="1">
        <f t="array" ref="N237">Common_InputFunctions.Utility_DisplayArrayInTable(Common_SourceData.Common_SourceData_MCFTemperatureZone_Data(),Table_SourceData_Common_MCFTemperatureZone[[#Headers],[Temperature zone]],0)</f>
        <v>1.4999999999999999E-2</v>
      </c>
      <c r="O237" s="19" cm="1">
        <f t="array" ref="O237">Common_InputFunctions.Utility_DisplayArrayInTable(Common_SourceData.Common_SourceData_MCFTemperatureZone_Data(),Table_SourceData_Common_MCFTemperatureZone[[#Headers],[Temperature zone]],0)</f>
        <v>1.4999999999999999E-2</v>
      </c>
      <c r="P237" s="19" cm="1">
        <f t="array" ref="P237">Common_InputFunctions.Utility_DisplayArrayInTable(Common_SourceData.Common_SourceData_MCFTemperatureZone_Data(),Table_SourceData_Common_MCFTemperatureZone[[#Headers],[Temperature zone]],0)</f>
        <v>0</v>
      </c>
      <c r="Q237" s="19" cm="1">
        <f t="array" ref="Q237">Common_InputFunctions.Utility_DisplayArrayInTable(Common_SourceData.Common_SourceData_MCFTemperatureZone_Data(),Table_SourceData_Common_MCFTemperatureZone[[#Headers],[Temperature zone]],0)</f>
        <v>0</v>
      </c>
      <c r="R237" s="19" cm="1">
        <f t="array" ref="R237">Common_InputFunctions.Utility_DisplayArrayInTable(Common_SourceData.Common_SourceData_MCFTemperatureZone_Data(),Table_SourceData_Common_MCFTemperatureZone[[#Headers],[Temperature zone]],0)</f>
        <v>4.7000000000000002E-3</v>
      </c>
      <c r="S237" s="19" cm="1">
        <f t="array" ref="S237">Common_InputFunctions.Utility_DisplayArrayInTable(Common_SourceData.Common_SourceData_MCFTemperatureZone_Data(),Table_SourceData_Common_MCFTemperatureZone[[#Headers],[Temperature zone]],0)</f>
        <v>15</v>
      </c>
    </row>
    <row r="238" spans="1:19" ht="20.100000000000001" customHeight="1" x14ac:dyDescent="0.2">
      <c r="A238"/>
      <c r="D238" s="1" t="str" cm="1">
        <f t="array" ref="D238">Common_InputFunctions.Utility_DisplayArrayInTable(Common_SourceData.Common_SourceData_MCFTemperatureZone_Data(),Table_SourceData_Common_MCFTemperatureZone[[#Headers],[Temperature zone]],0)</f>
        <v>Temperate</v>
      </c>
      <c r="E238" s="19" cm="1">
        <f t="array" ref="E238">Common_InputFunctions.Utility_DisplayArrayInTable(Common_SourceData.Common_SourceData_MCFTemperatureZone_Data(),Table_SourceData_Common_MCFTemperatureZone[[#Headers],[Temperature zone]],0)</f>
        <v>16</v>
      </c>
      <c r="F238" s="19" cm="1">
        <f t="array" ref="F238">Common_InputFunctions.Utility_DisplayArrayInTable(Common_SourceData.Common_SourceData_MCFTemperatureZone_Data(),Table_SourceData_Common_MCFTemperatureZone[[#Headers],[Temperature zone]],0)</f>
        <v>0.75</v>
      </c>
      <c r="G238" s="19" cm="1">
        <f t="array" ref="G238">Common_InputFunctions.Utility_DisplayArrayInTable(Common_SourceData.Common_SourceData_MCFTemperatureZone_Data(),Table_SourceData_Common_MCFTemperatureZone[[#Headers],[Temperature zone]],0)</f>
        <v>0.1</v>
      </c>
      <c r="H238" s="19" cm="1">
        <f t="array" ref="H238">Common_InputFunctions.Utility_DisplayArrayInTable(Common_SourceData.Common_SourceData_MCFTemperatureZone_Data(),Table_SourceData_Common_MCFTemperatureZone[[#Headers],[Temperature zone]],0)</f>
        <v>0.18</v>
      </c>
      <c r="I238" s="19" cm="1">
        <f t="array" ref="I238">Common_InputFunctions.Utility_DisplayArrayInTable(Common_SourceData.Common_SourceData_MCFTemperatureZone_Data(),Table_SourceData_Common_MCFTemperatureZone[[#Headers],[Temperature zone]],0)</f>
        <v>5.0000000000000001E-3</v>
      </c>
      <c r="J238" s="19" cm="1">
        <f t="array" ref="J238">Common_InputFunctions.Utility_DisplayArrayInTable(Common_SourceData.Common_SourceData_MCFTemperatureZone_Data(),Table_SourceData_Common_MCFTemperatureZone[[#Headers],[Temperature zone]],0)</f>
        <v>0.01</v>
      </c>
      <c r="K238" s="19" cm="1">
        <f t="array" ref="K238">Common_InputFunctions.Utility_DisplayArrayInTable(Common_SourceData.Common_SourceData_MCFTemperatureZone_Data(),Table_SourceData_Common_MCFTemperatureZone[[#Headers],[Temperature zone]],0)</f>
        <v>0.02</v>
      </c>
      <c r="L238" s="19" cm="1">
        <f t="array" ref="L238">Common_InputFunctions.Utility_DisplayArrayInTable(Common_SourceData.Common_SourceData_MCFTemperatureZone_Data(),Table_SourceData_Common_MCFTemperatureZone[[#Headers],[Temperature zone]],0)</f>
        <v>0.03</v>
      </c>
      <c r="M238" s="19" cm="1">
        <f t="array" ref="M238">Common_InputFunctions.Utility_DisplayArrayInTable(Common_SourceData.Common_SourceData_MCFTemperatureZone_Data(),Table_SourceData_Common_MCFTemperatureZone[[#Headers],[Temperature zone]],0)</f>
        <v>0.04</v>
      </c>
      <c r="N238" s="19" cm="1">
        <f t="array" ref="N238">Common_InputFunctions.Utility_DisplayArrayInTable(Common_SourceData.Common_SourceData_MCFTemperatureZone_Data(),Table_SourceData_Common_MCFTemperatureZone[[#Headers],[Temperature zone]],0)</f>
        <v>1.4999999999999999E-2</v>
      </c>
      <c r="O238" s="19" cm="1">
        <f t="array" ref="O238">Common_InputFunctions.Utility_DisplayArrayInTable(Common_SourceData.Common_SourceData_MCFTemperatureZone_Data(),Table_SourceData_Common_MCFTemperatureZone[[#Headers],[Temperature zone]],0)</f>
        <v>1.4999999999999999E-2</v>
      </c>
      <c r="P238" s="19" cm="1">
        <f t="array" ref="P238">Common_InputFunctions.Utility_DisplayArrayInTable(Common_SourceData.Common_SourceData_MCFTemperatureZone_Data(),Table_SourceData_Common_MCFTemperatureZone[[#Headers],[Temperature zone]],0)</f>
        <v>0</v>
      </c>
      <c r="Q238" s="19" cm="1">
        <f t="array" ref="Q238">Common_InputFunctions.Utility_DisplayArrayInTable(Common_SourceData.Common_SourceData_MCFTemperatureZone_Data(),Table_SourceData_Common_MCFTemperatureZone[[#Headers],[Temperature zone]],0)</f>
        <v>0</v>
      </c>
      <c r="R238" s="19" cm="1">
        <f t="array" ref="R238">Common_InputFunctions.Utility_DisplayArrayInTable(Common_SourceData.Common_SourceData_MCFTemperatureZone_Data(),Table_SourceData_Common_MCFTemperatureZone[[#Headers],[Temperature zone]],0)</f>
        <v>4.7000000000000002E-3</v>
      </c>
      <c r="S238" s="19" cm="1">
        <f t="array" ref="S238">Common_InputFunctions.Utility_DisplayArrayInTable(Common_SourceData.Common_SourceData_MCFTemperatureZone_Data(),Table_SourceData_Common_MCFTemperatureZone[[#Headers],[Temperature zone]],0)</f>
        <v>16</v>
      </c>
    </row>
    <row r="239" spans="1:19" ht="20.100000000000001" customHeight="1" x14ac:dyDescent="0.2">
      <c r="A239"/>
      <c r="D239" s="1" t="str" cm="1">
        <f t="array" ref="D239">Common_InputFunctions.Utility_DisplayArrayInTable(Common_SourceData.Common_SourceData_MCFTemperatureZone_Data(),Table_SourceData_Common_MCFTemperatureZone[[#Headers],[Temperature zone]],0)</f>
        <v>Temperate</v>
      </c>
      <c r="E239" s="19" cm="1">
        <f t="array" ref="E239">Common_InputFunctions.Utility_DisplayArrayInTable(Common_SourceData.Common_SourceData_MCFTemperatureZone_Data(),Table_SourceData_Common_MCFTemperatureZone[[#Headers],[Temperature zone]],0)</f>
        <v>17</v>
      </c>
      <c r="F239" s="19" cm="1">
        <f t="array" ref="F239">Common_InputFunctions.Utility_DisplayArrayInTable(Common_SourceData.Common_SourceData_MCFTemperatureZone_Data(),Table_SourceData_Common_MCFTemperatureZone[[#Headers],[Temperature zone]],0)</f>
        <v>0.76</v>
      </c>
      <c r="G239" s="19" cm="1">
        <f t="array" ref="G239">Common_InputFunctions.Utility_DisplayArrayInTable(Common_SourceData.Common_SourceData_MCFTemperatureZone_Data(),Table_SourceData_Common_MCFTemperatureZone[[#Headers],[Temperature zone]],0)</f>
        <v>0.1</v>
      </c>
      <c r="H239" s="19" cm="1">
        <f t="array" ref="H239">Common_InputFunctions.Utility_DisplayArrayInTable(Common_SourceData.Common_SourceData_MCFTemperatureZone_Data(),Table_SourceData_Common_MCFTemperatureZone[[#Headers],[Temperature zone]],0)</f>
        <v>0.2</v>
      </c>
      <c r="I239" s="19" cm="1">
        <f t="array" ref="I239">Common_InputFunctions.Utility_DisplayArrayInTable(Common_SourceData.Common_SourceData_MCFTemperatureZone_Data(),Table_SourceData_Common_MCFTemperatureZone[[#Headers],[Temperature zone]],0)</f>
        <v>5.0000000000000001E-3</v>
      </c>
      <c r="J239" s="19" cm="1">
        <f t="array" ref="J239">Common_InputFunctions.Utility_DisplayArrayInTable(Common_SourceData.Common_SourceData_MCFTemperatureZone_Data(),Table_SourceData_Common_MCFTemperatureZone[[#Headers],[Temperature zone]],0)</f>
        <v>0.01</v>
      </c>
      <c r="K239" s="19" cm="1">
        <f t="array" ref="K239">Common_InputFunctions.Utility_DisplayArrayInTable(Common_SourceData.Common_SourceData_MCFTemperatureZone_Data(),Table_SourceData_Common_MCFTemperatureZone[[#Headers],[Temperature zone]],0)</f>
        <v>0.02</v>
      </c>
      <c r="L239" s="19" cm="1">
        <f t="array" ref="L239">Common_InputFunctions.Utility_DisplayArrayInTable(Common_SourceData.Common_SourceData_MCFTemperatureZone_Data(),Table_SourceData_Common_MCFTemperatureZone[[#Headers],[Temperature zone]],0)</f>
        <v>0.03</v>
      </c>
      <c r="M239" s="19" cm="1">
        <f t="array" ref="M239">Common_InputFunctions.Utility_DisplayArrayInTable(Common_SourceData.Common_SourceData_MCFTemperatureZone_Data(),Table_SourceData_Common_MCFTemperatureZone[[#Headers],[Temperature zone]],0)</f>
        <v>0.04</v>
      </c>
      <c r="N239" s="19" cm="1">
        <f t="array" ref="N239">Common_InputFunctions.Utility_DisplayArrayInTable(Common_SourceData.Common_SourceData_MCFTemperatureZone_Data(),Table_SourceData_Common_MCFTemperatureZone[[#Headers],[Temperature zone]],0)</f>
        <v>1.4999999999999999E-2</v>
      </c>
      <c r="O239" s="19" cm="1">
        <f t="array" ref="O239">Common_InputFunctions.Utility_DisplayArrayInTable(Common_SourceData.Common_SourceData_MCFTemperatureZone_Data(),Table_SourceData_Common_MCFTemperatureZone[[#Headers],[Temperature zone]],0)</f>
        <v>1.4999999999999999E-2</v>
      </c>
      <c r="P239" s="19" cm="1">
        <f t="array" ref="P239">Common_InputFunctions.Utility_DisplayArrayInTable(Common_SourceData.Common_SourceData_MCFTemperatureZone_Data(),Table_SourceData_Common_MCFTemperatureZone[[#Headers],[Temperature zone]],0)</f>
        <v>0</v>
      </c>
      <c r="Q239" s="19" cm="1">
        <f t="array" ref="Q239">Common_InputFunctions.Utility_DisplayArrayInTable(Common_SourceData.Common_SourceData_MCFTemperatureZone_Data(),Table_SourceData_Common_MCFTemperatureZone[[#Headers],[Temperature zone]],0)</f>
        <v>0</v>
      </c>
      <c r="R239" s="19" cm="1">
        <f t="array" ref="R239">Common_InputFunctions.Utility_DisplayArrayInTable(Common_SourceData.Common_SourceData_MCFTemperatureZone_Data(),Table_SourceData_Common_MCFTemperatureZone[[#Headers],[Temperature zone]],0)</f>
        <v>4.7000000000000002E-3</v>
      </c>
      <c r="S239" s="19" cm="1">
        <f t="array" ref="S239">Common_InputFunctions.Utility_DisplayArrayInTable(Common_SourceData.Common_SourceData_MCFTemperatureZone_Data(),Table_SourceData_Common_MCFTemperatureZone[[#Headers],[Temperature zone]],0)</f>
        <v>17</v>
      </c>
    </row>
    <row r="240" spans="1:19" ht="20.100000000000001" customHeight="1" x14ac:dyDescent="0.2">
      <c r="A240"/>
      <c r="D240" s="1" t="str" cm="1">
        <f t="array" ref="D240">Common_InputFunctions.Utility_DisplayArrayInTable(Common_SourceData.Common_SourceData_MCFTemperatureZone_Data(),Table_SourceData_Common_MCFTemperatureZone[[#Headers],[Temperature zone]],0)</f>
        <v>Temperate</v>
      </c>
      <c r="E240" s="19" cm="1">
        <f t="array" ref="E240">Common_InputFunctions.Utility_DisplayArrayInTable(Common_SourceData.Common_SourceData_MCFTemperatureZone_Data(),Table_SourceData_Common_MCFTemperatureZone[[#Headers],[Temperature zone]],0)</f>
        <v>18</v>
      </c>
      <c r="F240" s="19" cm="1">
        <f t="array" ref="F240">Common_InputFunctions.Utility_DisplayArrayInTable(Common_SourceData.Common_SourceData_MCFTemperatureZone_Data(),Table_SourceData_Common_MCFTemperatureZone[[#Headers],[Temperature zone]],0)</f>
        <v>0.77</v>
      </c>
      <c r="G240" s="19" cm="1">
        <f t="array" ref="G240">Common_InputFunctions.Utility_DisplayArrayInTable(Common_SourceData.Common_SourceData_MCFTemperatureZone_Data(),Table_SourceData_Common_MCFTemperatureZone[[#Headers],[Temperature zone]],0)</f>
        <v>0.1</v>
      </c>
      <c r="H240" s="19" cm="1">
        <f t="array" ref="H240">Common_InputFunctions.Utility_DisplayArrayInTable(Common_SourceData.Common_SourceData_MCFTemperatureZone_Data(),Table_SourceData_Common_MCFTemperatureZone[[#Headers],[Temperature zone]],0)</f>
        <v>0.22</v>
      </c>
      <c r="I240" s="19" cm="1">
        <f t="array" ref="I240">Common_InputFunctions.Utility_DisplayArrayInTable(Common_SourceData.Common_SourceData_MCFTemperatureZone_Data(),Table_SourceData_Common_MCFTemperatureZone[[#Headers],[Temperature zone]],0)</f>
        <v>5.0000000000000001E-3</v>
      </c>
      <c r="J240" s="19" cm="1">
        <f t="array" ref="J240">Common_InputFunctions.Utility_DisplayArrayInTable(Common_SourceData.Common_SourceData_MCFTemperatureZone_Data(),Table_SourceData_Common_MCFTemperatureZone[[#Headers],[Temperature zone]],0)</f>
        <v>0.01</v>
      </c>
      <c r="K240" s="19" cm="1">
        <f t="array" ref="K240">Common_InputFunctions.Utility_DisplayArrayInTable(Common_SourceData.Common_SourceData_MCFTemperatureZone_Data(),Table_SourceData_Common_MCFTemperatureZone[[#Headers],[Temperature zone]],0)</f>
        <v>0.02</v>
      </c>
      <c r="L240" s="19" cm="1">
        <f t="array" ref="L240">Common_InputFunctions.Utility_DisplayArrayInTable(Common_SourceData.Common_SourceData_MCFTemperatureZone_Data(),Table_SourceData_Common_MCFTemperatureZone[[#Headers],[Temperature zone]],0)</f>
        <v>0.03</v>
      </c>
      <c r="M240" s="19" cm="1">
        <f t="array" ref="M240">Common_InputFunctions.Utility_DisplayArrayInTable(Common_SourceData.Common_SourceData_MCFTemperatureZone_Data(),Table_SourceData_Common_MCFTemperatureZone[[#Headers],[Temperature zone]],0)</f>
        <v>0.04</v>
      </c>
      <c r="N240" s="19" cm="1">
        <f t="array" ref="N240">Common_InputFunctions.Utility_DisplayArrayInTable(Common_SourceData.Common_SourceData_MCFTemperatureZone_Data(),Table_SourceData_Common_MCFTemperatureZone[[#Headers],[Temperature zone]],0)</f>
        <v>1.4999999999999999E-2</v>
      </c>
      <c r="O240" s="19" cm="1">
        <f t="array" ref="O240">Common_InputFunctions.Utility_DisplayArrayInTable(Common_SourceData.Common_SourceData_MCFTemperatureZone_Data(),Table_SourceData_Common_MCFTemperatureZone[[#Headers],[Temperature zone]],0)</f>
        <v>1.4999999999999999E-2</v>
      </c>
      <c r="P240" s="19" cm="1">
        <f t="array" ref="P240">Common_InputFunctions.Utility_DisplayArrayInTable(Common_SourceData.Common_SourceData_MCFTemperatureZone_Data(),Table_SourceData_Common_MCFTemperatureZone[[#Headers],[Temperature zone]],0)</f>
        <v>0</v>
      </c>
      <c r="Q240" s="19" cm="1">
        <f t="array" ref="Q240">Common_InputFunctions.Utility_DisplayArrayInTable(Common_SourceData.Common_SourceData_MCFTemperatureZone_Data(),Table_SourceData_Common_MCFTemperatureZone[[#Headers],[Temperature zone]],0)</f>
        <v>0</v>
      </c>
      <c r="R240" s="19" cm="1">
        <f t="array" ref="R240">Common_InputFunctions.Utility_DisplayArrayInTable(Common_SourceData.Common_SourceData_MCFTemperatureZone_Data(),Table_SourceData_Common_MCFTemperatureZone[[#Headers],[Temperature zone]],0)</f>
        <v>4.7000000000000002E-3</v>
      </c>
      <c r="S240" s="19" cm="1">
        <f t="array" ref="S240">Common_InputFunctions.Utility_DisplayArrayInTable(Common_SourceData.Common_SourceData_MCFTemperatureZone_Data(),Table_SourceData_Common_MCFTemperatureZone[[#Headers],[Temperature zone]],0)</f>
        <v>18</v>
      </c>
    </row>
    <row r="241" spans="1:19" ht="20.100000000000001" customHeight="1" x14ac:dyDescent="0.2">
      <c r="A241"/>
      <c r="D241" s="1" t="str" cm="1">
        <f t="array" ref="D241">Common_InputFunctions.Utility_DisplayArrayInTable(Common_SourceData.Common_SourceData_MCFTemperatureZone_Data(),Table_SourceData_Common_MCFTemperatureZone[[#Headers],[Temperature zone]],0)</f>
        <v>Temperate</v>
      </c>
      <c r="E241" s="19" cm="1">
        <f t="array" ref="E241">Common_InputFunctions.Utility_DisplayArrayInTable(Common_SourceData.Common_SourceData_MCFTemperatureZone_Data(),Table_SourceData_Common_MCFTemperatureZone[[#Headers],[Temperature zone]],0)</f>
        <v>19</v>
      </c>
      <c r="F241" s="19" cm="1">
        <f t="array" ref="F241">Common_InputFunctions.Utility_DisplayArrayInTable(Common_SourceData.Common_SourceData_MCFTemperatureZone_Data(),Table_SourceData_Common_MCFTemperatureZone[[#Headers],[Temperature zone]],0)</f>
        <v>0.77</v>
      </c>
      <c r="G241" s="19" cm="1">
        <f t="array" ref="G241">Common_InputFunctions.Utility_DisplayArrayInTable(Common_SourceData.Common_SourceData_MCFTemperatureZone_Data(),Table_SourceData_Common_MCFTemperatureZone[[#Headers],[Temperature zone]],0)</f>
        <v>0.1</v>
      </c>
      <c r="H241" s="19" cm="1">
        <f t="array" ref="H241">Common_InputFunctions.Utility_DisplayArrayInTable(Common_SourceData.Common_SourceData_MCFTemperatureZone_Data(),Table_SourceData_Common_MCFTemperatureZone[[#Headers],[Temperature zone]],0)</f>
        <v>0.24</v>
      </c>
      <c r="I241" s="19" cm="1">
        <f t="array" ref="I241">Common_InputFunctions.Utility_DisplayArrayInTable(Common_SourceData.Common_SourceData_MCFTemperatureZone_Data(),Table_SourceData_Common_MCFTemperatureZone[[#Headers],[Temperature zone]],0)</f>
        <v>5.0000000000000001E-3</v>
      </c>
      <c r="J241" s="19" cm="1">
        <f t="array" ref="J241">Common_InputFunctions.Utility_DisplayArrayInTable(Common_SourceData.Common_SourceData_MCFTemperatureZone_Data(),Table_SourceData_Common_MCFTemperatureZone[[#Headers],[Temperature zone]],0)</f>
        <v>0.01</v>
      </c>
      <c r="K241" s="19" cm="1">
        <f t="array" ref="K241">Common_InputFunctions.Utility_DisplayArrayInTable(Common_SourceData.Common_SourceData_MCFTemperatureZone_Data(),Table_SourceData_Common_MCFTemperatureZone[[#Headers],[Temperature zone]],0)</f>
        <v>0.02</v>
      </c>
      <c r="L241" s="19" cm="1">
        <f t="array" ref="L241">Common_InputFunctions.Utility_DisplayArrayInTable(Common_SourceData.Common_SourceData_MCFTemperatureZone_Data(),Table_SourceData_Common_MCFTemperatureZone[[#Headers],[Temperature zone]],0)</f>
        <v>0.03</v>
      </c>
      <c r="M241" s="19" cm="1">
        <f t="array" ref="M241">Common_InputFunctions.Utility_DisplayArrayInTable(Common_SourceData.Common_SourceData_MCFTemperatureZone_Data(),Table_SourceData_Common_MCFTemperatureZone[[#Headers],[Temperature zone]],0)</f>
        <v>0.04</v>
      </c>
      <c r="N241" s="19" cm="1">
        <f t="array" ref="N241">Common_InputFunctions.Utility_DisplayArrayInTable(Common_SourceData.Common_SourceData_MCFTemperatureZone_Data(),Table_SourceData_Common_MCFTemperatureZone[[#Headers],[Temperature zone]],0)</f>
        <v>1.4999999999999999E-2</v>
      </c>
      <c r="O241" s="19" cm="1">
        <f t="array" ref="O241">Common_InputFunctions.Utility_DisplayArrayInTable(Common_SourceData.Common_SourceData_MCFTemperatureZone_Data(),Table_SourceData_Common_MCFTemperatureZone[[#Headers],[Temperature zone]],0)</f>
        <v>1.4999999999999999E-2</v>
      </c>
      <c r="P241" s="19" cm="1">
        <f t="array" ref="P241">Common_InputFunctions.Utility_DisplayArrayInTable(Common_SourceData.Common_SourceData_MCFTemperatureZone_Data(),Table_SourceData_Common_MCFTemperatureZone[[#Headers],[Temperature zone]],0)</f>
        <v>0</v>
      </c>
      <c r="Q241" s="19" cm="1">
        <f t="array" ref="Q241">Common_InputFunctions.Utility_DisplayArrayInTable(Common_SourceData.Common_SourceData_MCFTemperatureZone_Data(),Table_SourceData_Common_MCFTemperatureZone[[#Headers],[Temperature zone]],0)</f>
        <v>0</v>
      </c>
      <c r="R241" s="19" cm="1">
        <f t="array" ref="R241">Common_InputFunctions.Utility_DisplayArrayInTable(Common_SourceData.Common_SourceData_MCFTemperatureZone_Data(),Table_SourceData_Common_MCFTemperatureZone[[#Headers],[Temperature zone]],0)</f>
        <v>4.7000000000000002E-3</v>
      </c>
      <c r="S241" s="19" cm="1">
        <f t="array" ref="S241">Common_InputFunctions.Utility_DisplayArrayInTable(Common_SourceData.Common_SourceData_MCFTemperatureZone_Data(),Table_SourceData_Common_MCFTemperatureZone[[#Headers],[Temperature zone]],0)</f>
        <v>19</v>
      </c>
    </row>
    <row r="242" spans="1:19" ht="20.100000000000001" customHeight="1" x14ac:dyDescent="0.2">
      <c r="A242"/>
      <c r="D242" s="1" t="str" cm="1">
        <f t="array" ref="D242">Common_InputFunctions.Utility_DisplayArrayInTable(Common_SourceData.Common_SourceData_MCFTemperatureZone_Data(),Table_SourceData_Common_MCFTemperatureZone[[#Headers],[Temperature zone]],0)</f>
        <v>Temperate</v>
      </c>
      <c r="E242" s="19" cm="1">
        <f t="array" ref="E242">Common_InputFunctions.Utility_DisplayArrayInTable(Common_SourceData.Common_SourceData_MCFTemperatureZone_Data(),Table_SourceData_Common_MCFTemperatureZone[[#Headers],[Temperature zone]],0)</f>
        <v>20</v>
      </c>
      <c r="F242" s="19" cm="1">
        <f t="array" ref="F242">Common_InputFunctions.Utility_DisplayArrayInTable(Common_SourceData.Common_SourceData_MCFTemperatureZone_Data(),Table_SourceData_Common_MCFTemperatureZone[[#Headers],[Temperature zone]],0)</f>
        <v>0.78</v>
      </c>
      <c r="G242" s="19" cm="1">
        <f t="array" ref="G242">Common_InputFunctions.Utility_DisplayArrayInTable(Common_SourceData.Common_SourceData_MCFTemperatureZone_Data(),Table_SourceData_Common_MCFTemperatureZone[[#Headers],[Temperature zone]],0)</f>
        <v>0.1</v>
      </c>
      <c r="H242" s="19" cm="1">
        <f t="array" ref="H242">Common_InputFunctions.Utility_DisplayArrayInTable(Common_SourceData.Common_SourceData_MCFTemperatureZone_Data(),Table_SourceData_Common_MCFTemperatureZone[[#Headers],[Temperature zone]],0)</f>
        <v>0.26</v>
      </c>
      <c r="I242" s="19" cm="1">
        <f t="array" ref="I242">Common_InputFunctions.Utility_DisplayArrayInTable(Common_SourceData.Common_SourceData_MCFTemperatureZone_Data(),Table_SourceData_Common_MCFTemperatureZone[[#Headers],[Temperature zone]],0)</f>
        <v>5.0000000000000001E-3</v>
      </c>
      <c r="J242" s="19" cm="1">
        <f t="array" ref="J242">Common_InputFunctions.Utility_DisplayArrayInTable(Common_SourceData.Common_SourceData_MCFTemperatureZone_Data(),Table_SourceData_Common_MCFTemperatureZone[[#Headers],[Temperature zone]],0)</f>
        <v>0.01</v>
      </c>
      <c r="K242" s="19" cm="1">
        <f t="array" ref="K242">Common_InputFunctions.Utility_DisplayArrayInTable(Common_SourceData.Common_SourceData_MCFTemperatureZone_Data(),Table_SourceData_Common_MCFTemperatureZone[[#Headers],[Temperature zone]],0)</f>
        <v>0.02</v>
      </c>
      <c r="L242" s="19" cm="1">
        <f t="array" ref="L242">Common_InputFunctions.Utility_DisplayArrayInTable(Common_SourceData.Common_SourceData_MCFTemperatureZone_Data(),Table_SourceData_Common_MCFTemperatureZone[[#Headers],[Temperature zone]],0)</f>
        <v>0.03</v>
      </c>
      <c r="M242" s="19" cm="1">
        <f t="array" ref="M242">Common_InputFunctions.Utility_DisplayArrayInTable(Common_SourceData.Common_SourceData_MCFTemperatureZone_Data(),Table_SourceData_Common_MCFTemperatureZone[[#Headers],[Temperature zone]],0)</f>
        <v>0.04</v>
      </c>
      <c r="N242" s="19" cm="1">
        <f t="array" ref="N242">Common_InputFunctions.Utility_DisplayArrayInTable(Common_SourceData.Common_SourceData_MCFTemperatureZone_Data(),Table_SourceData_Common_MCFTemperatureZone[[#Headers],[Temperature zone]],0)</f>
        <v>1.4999999999999999E-2</v>
      </c>
      <c r="O242" s="19" cm="1">
        <f t="array" ref="O242">Common_InputFunctions.Utility_DisplayArrayInTable(Common_SourceData.Common_SourceData_MCFTemperatureZone_Data(),Table_SourceData_Common_MCFTemperatureZone[[#Headers],[Temperature zone]],0)</f>
        <v>1.4999999999999999E-2</v>
      </c>
      <c r="P242" s="19" cm="1">
        <f t="array" ref="P242">Common_InputFunctions.Utility_DisplayArrayInTable(Common_SourceData.Common_SourceData_MCFTemperatureZone_Data(),Table_SourceData_Common_MCFTemperatureZone[[#Headers],[Temperature zone]],0)</f>
        <v>0</v>
      </c>
      <c r="Q242" s="19" cm="1">
        <f t="array" ref="Q242">Common_InputFunctions.Utility_DisplayArrayInTable(Common_SourceData.Common_SourceData_MCFTemperatureZone_Data(),Table_SourceData_Common_MCFTemperatureZone[[#Headers],[Temperature zone]],0)</f>
        <v>0</v>
      </c>
      <c r="R242" s="19" cm="1">
        <f t="array" ref="R242">Common_InputFunctions.Utility_DisplayArrayInTable(Common_SourceData.Common_SourceData_MCFTemperatureZone_Data(),Table_SourceData_Common_MCFTemperatureZone[[#Headers],[Temperature zone]],0)</f>
        <v>4.7000000000000002E-3</v>
      </c>
      <c r="S242" s="19" cm="1">
        <f t="array" ref="S242">Common_InputFunctions.Utility_DisplayArrayInTable(Common_SourceData.Common_SourceData_MCFTemperatureZone_Data(),Table_SourceData_Common_MCFTemperatureZone[[#Headers],[Temperature zone]],0)</f>
        <v>20</v>
      </c>
    </row>
    <row r="243" spans="1:19" ht="20.100000000000001" customHeight="1" x14ac:dyDescent="0.2">
      <c r="A243"/>
      <c r="D243" s="1" t="str" cm="1">
        <f t="array" ref="D243">Common_InputFunctions.Utility_DisplayArrayInTable(Common_SourceData.Common_SourceData_MCFTemperatureZone_Data(),Table_SourceData_Common_MCFTemperatureZone[[#Headers],[Temperature zone]],0)</f>
        <v>Temperate</v>
      </c>
      <c r="E243" s="19" cm="1">
        <f t="array" ref="E243">Common_InputFunctions.Utility_DisplayArrayInTable(Common_SourceData.Common_SourceData_MCFTemperatureZone_Data(),Table_SourceData_Common_MCFTemperatureZone[[#Headers],[Temperature zone]],0)</f>
        <v>21</v>
      </c>
      <c r="F243" s="19" cm="1">
        <f t="array" ref="F243">Common_InputFunctions.Utility_DisplayArrayInTable(Common_SourceData.Common_SourceData_MCFTemperatureZone_Data(),Table_SourceData_Common_MCFTemperatureZone[[#Headers],[Temperature zone]],0)</f>
        <v>0.78</v>
      </c>
      <c r="G243" s="19" cm="1">
        <f t="array" ref="G243">Common_InputFunctions.Utility_DisplayArrayInTable(Common_SourceData.Common_SourceData_MCFTemperatureZone_Data(),Table_SourceData_Common_MCFTemperatureZone[[#Headers],[Temperature zone]],0)</f>
        <v>0.1</v>
      </c>
      <c r="H243" s="19" cm="1">
        <f t="array" ref="H243">Common_InputFunctions.Utility_DisplayArrayInTable(Common_SourceData.Common_SourceData_MCFTemperatureZone_Data(),Table_SourceData_Common_MCFTemperatureZone[[#Headers],[Temperature zone]],0)</f>
        <v>0.28999999999999998</v>
      </c>
      <c r="I243" s="19" cm="1">
        <f t="array" ref="I243">Common_InputFunctions.Utility_DisplayArrayInTable(Common_SourceData.Common_SourceData_MCFTemperatureZone_Data(),Table_SourceData_Common_MCFTemperatureZone[[#Headers],[Temperature zone]],0)</f>
        <v>5.0000000000000001E-3</v>
      </c>
      <c r="J243" s="19" cm="1">
        <f t="array" ref="J243">Common_InputFunctions.Utility_DisplayArrayInTable(Common_SourceData.Common_SourceData_MCFTemperatureZone_Data(),Table_SourceData_Common_MCFTemperatureZone[[#Headers],[Temperature zone]],0)</f>
        <v>0.01</v>
      </c>
      <c r="K243" s="19" cm="1">
        <f t="array" ref="K243">Common_InputFunctions.Utility_DisplayArrayInTable(Common_SourceData.Common_SourceData_MCFTemperatureZone_Data(),Table_SourceData_Common_MCFTemperatureZone[[#Headers],[Temperature zone]],0)</f>
        <v>0.02</v>
      </c>
      <c r="L243" s="19" cm="1">
        <f t="array" ref="L243">Common_InputFunctions.Utility_DisplayArrayInTable(Common_SourceData.Common_SourceData_MCFTemperatureZone_Data(),Table_SourceData_Common_MCFTemperatureZone[[#Headers],[Temperature zone]],0)</f>
        <v>0.03</v>
      </c>
      <c r="M243" s="19" cm="1">
        <f t="array" ref="M243">Common_InputFunctions.Utility_DisplayArrayInTable(Common_SourceData.Common_SourceData_MCFTemperatureZone_Data(),Table_SourceData_Common_MCFTemperatureZone[[#Headers],[Temperature zone]],0)</f>
        <v>0.04</v>
      </c>
      <c r="N243" s="19" cm="1">
        <f t="array" ref="N243">Common_InputFunctions.Utility_DisplayArrayInTable(Common_SourceData.Common_SourceData_MCFTemperatureZone_Data(),Table_SourceData_Common_MCFTemperatureZone[[#Headers],[Temperature zone]],0)</f>
        <v>1.4999999999999999E-2</v>
      </c>
      <c r="O243" s="19" cm="1">
        <f t="array" ref="O243">Common_InputFunctions.Utility_DisplayArrayInTable(Common_SourceData.Common_SourceData_MCFTemperatureZone_Data(),Table_SourceData_Common_MCFTemperatureZone[[#Headers],[Temperature zone]],0)</f>
        <v>1.4999999999999999E-2</v>
      </c>
      <c r="P243" s="19" cm="1">
        <f t="array" ref="P243">Common_InputFunctions.Utility_DisplayArrayInTable(Common_SourceData.Common_SourceData_MCFTemperatureZone_Data(),Table_SourceData_Common_MCFTemperatureZone[[#Headers],[Temperature zone]],0)</f>
        <v>0</v>
      </c>
      <c r="Q243" s="19" cm="1">
        <f t="array" ref="Q243">Common_InputFunctions.Utility_DisplayArrayInTable(Common_SourceData.Common_SourceData_MCFTemperatureZone_Data(),Table_SourceData_Common_MCFTemperatureZone[[#Headers],[Temperature zone]],0)</f>
        <v>0</v>
      </c>
      <c r="R243" s="19" cm="1">
        <f t="array" ref="R243">Common_InputFunctions.Utility_DisplayArrayInTable(Common_SourceData.Common_SourceData_MCFTemperatureZone_Data(),Table_SourceData_Common_MCFTemperatureZone[[#Headers],[Temperature zone]],0)</f>
        <v>4.7000000000000002E-3</v>
      </c>
      <c r="S243" s="19" cm="1">
        <f t="array" ref="S243">Common_InputFunctions.Utility_DisplayArrayInTable(Common_SourceData.Common_SourceData_MCFTemperatureZone_Data(),Table_SourceData_Common_MCFTemperatureZone[[#Headers],[Temperature zone]],0)</f>
        <v>21</v>
      </c>
    </row>
    <row r="244" spans="1:19" ht="20.100000000000001" customHeight="1" x14ac:dyDescent="0.2">
      <c r="A244"/>
      <c r="D244" s="1" t="str" cm="1">
        <f t="array" ref="D244">Common_InputFunctions.Utility_DisplayArrayInTable(Common_SourceData.Common_SourceData_MCFTemperatureZone_Data(),Table_SourceData_Common_MCFTemperatureZone[[#Headers],[Temperature zone]],0)</f>
        <v>Temperate</v>
      </c>
      <c r="E244" s="19" cm="1">
        <f t="array" ref="E244">Common_InputFunctions.Utility_DisplayArrayInTable(Common_SourceData.Common_SourceData_MCFTemperatureZone_Data(),Table_SourceData_Common_MCFTemperatureZone[[#Headers],[Temperature zone]],0)</f>
        <v>22</v>
      </c>
      <c r="F244" s="19" cm="1">
        <f t="array" ref="F244">Common_InputFunctions.Utility_DisplayArrayInTable(Common_SourceData.Common_SourceData_MCFTemperatureZone_Data(),Table_SourceData_Common_MCFTemperatureZone[[#Headers],[Temperature zone]],0)</f>
        <v>0.78</v>
      </c>
      <c r="G244" s="19" cm="1">
        <f t="array" ref="G244">Common_InputFunctions.Utility_DisplayArrayInTable(Common_SourceData.Common_SourceData_MCFTemperatureZone_Data(),Table_SourceData_Common_MCFTemperatureZone[[#Headers],[Temperature zone]],0)</f>
        <v>0.1</v>
      </c>
      <c r="H244" s="19" cm="1">
        <f t="array" ref="H244">Common_InputFunctions.Utility_DisplayArrayInTable(Common_SourceData.Common_SourceData_MCFTemperatureZone_Data(),Table_SourceData_Common_MCFTemperatureZone[[#Headers],[Temperature zone]],0)</f>
        <v>0.31</v>
      </c>
      <c r="I244" s="19" cm="1">
        <f t="array" ref="I244">Common_InputFunctions.Utility_DisplayArrayInTable(Common_SourceData.Common_SourceData_MCFTemperatureZone_Data(),Table_SourceData_Common_MCFTemperatureZone[[#Headers],[Temperature zone]],0)</f>
        <v>5.0000000000000001E-3</v>
      </c>
      <c r="J244" s="19" cm="1">
        <f t="array" ref="J244">Common_InputFunctions.Utility_DisplayArrayInTable(Common_SourceData.Common_SourceData_MCFTemperatureZone_Data(),Table_SourceData_Common_MCFTemperatureZone[[#Headers],[Temperature zone]],0)</f>
        <v>0.01</v>
      </c>
      <c r="K244" s="19" cm="1">
        <f t="array" ref="K244">Common_InputFunctions.Utility_DisplayArrayInTable(Common_SourceData.Common_SourceData_MCFTemperatureZone_Data(),Table_SourceData_Common_MCFTemperatureZone[[#Headers],[Temperature zone]],0)</f>
        <v>0.02</v>
      </c>
      <c r="L244" s="19" cm="1">
        <f t="array" ref="L244">Common_InputFunctions.Utility_DisplayArrayInTable(Common_SourceData.Common_SourceData_MCFTemperatureZone_Data(),Table_SourceData_Common_MCFTemperatureZone[[#Headers],[Temperature zone]],0)</f>
        <v>0.03</v>
      </c>
      <c r="M244" s="19" cm="1">
        <f t="array" ref="M244">Common_InputFunctions.Utility_DisplayArrayInTable(Common_SourceData.Common_SourceData_MCFTemperatureZone_Data(),Table_SourceData_Common_MCFTemperatureZone[[#Headers],[Temperature zone]],0)</f>
        <v>0.04</v>
      </c>
      <c r="N244" s="19" cm="1">
        <f t="array" ref="N244">Common_InputFunctions.Utility_DisplayArrayInTable(Common_SourceData.Common_SourceData_MCFTemperatureZone_Data(),Table_SourceData_Common_MCFTemperatureZone[[#Headers],[Temperature zone]],0)</f>
        <v>1.4999999999999999E-2</v>
      </c>
      <c r="O244" s="19" cm="1">
        <f t="array" ref="O244">Common_InputFunctions.Utility_DisplayArrayInTable(Common_SourceData.Common_SourceData_MCFTemperatureZone_Data(),Table_SourceData_Common_MCFTemperatureZone[[#Headers],[Temperature zone]],0)</f>
        <v>1.4999999999999999E-2</v>
      </c>
      <c r="P244" s="19" cm="1">
        <f t="array" ref="P244">Common_InputFunctions.Utility_DisplayArrayInTable(Common_SourceData.Common_SourceData_MCFTemperatureZone_Data(),Table_SourceData_Common_MCFTemperatureZone[[#Headers],[Temperature zone]],0)</f>
        <v>0</v>
      </c>
      <c r="Q244" s="19" cm="1">
        <f t="array" ref="Q244">Common_InputFunctions.Utility_DisplayArrayInTable(Common_SourceData.Common_SourceData_MCFTemperatureZone_Data(),Table_SourceData_Common_MCFTemperatureZone[[#Headers],[Temperature zone]],0)</f>
        <v>0</v>
      </c>
      <c r="R244" s="19" cm="1">
        <f t="array" ref="R244">Common_InputFunctions.Utility_DisplayArrayInTable(Common_SourceData.Common_SourceData_MCFTemperatureZone_Data(),Table_SourceData_Common_MCFTemperatureZone[[#Headers],[Temperature zone]],0)</f>
        <v>4.7000000000000002E-3</v>
      </c>
      <c r="S244" s="19" cm="1">
        <f t="array" ref="S244">Common_InputFunctions.Utility_DisplayArrayInTable(Common_SourceData.Common_SourceData_MCFTemperatureZone_Data(),Table_SourceData_Common_MCFTemperatureZone[[#Headers],[Temperature zone]],0)</f>
        <v>22</v>
      </c>
    </row>
    <row r="245" spans="1:19" ht="20.100000000000001" customHeight="1" x14ac:dyDescent="0.2">
      <c r="A245"/>
      <c r="D245" s="1" t="str" cm="1">
        <f t="array" ref="D245">Common_InputFunctions.Utility_DisplayArrayInTable(Common_SourceData.Common_SourceData_MCFTemperatureZone_Data(),Table_SourceData_Common_MCFTemperatureZone[[#Headers],[Temperature zone]],0)</f>
        <v>Temperate</v>
      </c>
      <c r="E245" s="19" cm="1">
        <f t="array" ref="E245">Common_InputFunctions.Utility_DisplayArrayInTable(Common_SourceData.Common_SourceData_MCFTemperatureZone_Data(),Table_SourceData_Common_MCFTemperatureZone[[#Headers],[Temperature zone]],0)</f>
        <v>23</v>
      </c>
      <c r="F245" s="19" cm="1">
        <f t="array" ref="F245">Common_InputFunctions.Utility_DisplayArrayInTable(Common_SourceData.Common_SourceData_MCFTemperatureZone_Data(),Table_SourceData_Common_MCFTemperatureZone[[#Headers],[Temperature zone]],0)</f>
        <v>0.79</v>
      </c>
      <c r="G245" s="19" cm="1">
        <f t="array" ref="G245">Common_InputFunctions.Utility_DisplayArrayInTable(Common_SourceData.Common_SourceData_MCFTemperatureZone_Data(),Table_SourceData_Common_MCFTemperatureZone[[#Headers],[Temperature zone]],0)</f>
        <v>0.1</v>
      </c>
      <c r="H245" s="19" cm="1">
        <f t="array" ref="H245">Common_InputFunctions.Utility_DisplayArrayInTable(Common_SourceData.Common_SourceData_MCFTemperatureZone_Data(),Table_SourceData_Common_MCFTemperatureZone[[#Headers],[Temperature zone]],0)</f>
        <v>0.34</v>
      </c>
      <c r="I245" s="19" cm="1">
        <f t="array" ref="I245">Common_InputFunctions.Utility_DisplayArrayInTable(Common_SourceData.Common_SourceData_MCFTemperatureZone_Data(),Table_SourceData_Common_MCFTemperatureZone[[#Headers],[Temperature zone]],0)</f>
        <v>5.0000000000000001E-3</v>
      </c>
      <c r="J245" s="19" cm="1">
        <f t="array" ref="J245">Common_InputFunctions.Utility_DisplayArrayInTable(Common_SourceData.Common_SourceData_MCFTemperatureZone_Data(),Table_SourceData_Common_MCFTemperatureZone[[#Headers],[Temperature zone]],0)</f>
        <v>0.01</v>
      </c>
      <c r="K245" s="19" cm="1">
        <f t="array" ref="K245">Common_InputFunctions.Utility_DisplayArrayInTable(Common_SourceData.Common_SourceData_MCFTemperatureZone_Data(),Table_SourceData_Common_MCFTemperatureZone[[#Headers],[Temperature zone]],0)</f>
        <v>0.02</v>
      </c>
      <c r="L245" s="19" cm="1">
        <f t="array" ref="L245">Common_InputFunctions.Utility_DisplayArrayInTable(Common_SourceData.Common_SourceData_MCFTemperatureZone_Data(),Table_SourceData_Common_MCFTemperatureZone[[#Headers],[Temperature zone]],0)</f>
        <v>0.03</v>
      </c>
      <c r="M245" s="19" cm="1">
        <f t="array" ref="M245">Common_InputFunctions.Utility_DisplayArrayInTable(Common_SourceData.Common_SourceData_MCFTemperatureZone_Data(),Table_SourceData_Common_MCFTemperatureZone[[#Headers],[Temperature zone]],0)</f>
        <v>0.04</v>
      </c>
      <c r="N245" s="19" cm="1">
        <f t="array" ref="N245">Common_InputFunctions.Utility_DisplayArrayInTable(Common_SourceData.Common_SourceData_MCFTemperatureZone_Data(),Table_SourceData_Common_MCFTemperatureZone[[#Headers],[Temperature zone]],0)</f>
        <v>1.4999999999999999E-2</v>
      </c>
      <c r="O245" s="19" cm="1">
        <f t="array" ref="O245">Common_InputFunctions.Utility_DisplayArrayInTable(Common_SourceData.Common_SourceData_MCFTemperatureZone_Data(),Table_SourceData_Common_MCFTemperatureZone[[#Headers],[Temperature zone]],0)</f>
        <v>1.4999999999999999E-2</v>
      </c>
      <c r="P245" s="19" cm="1">
        <f t="array" ref="P245">Common_InputFunctions.Utility_DisplayArrayInTable(Common_SourceData.Common_SourceData_MCFTemperatureZone_Data(),Table_SourceData_Common_MCFTemperatureZone[[#Headers],[Temperature zone]],0)</f>
        <v>0</v>
      </c>
      <c r="Q245" s="19" cm="1">
        <f t="array" ref="Q245">Common_InputFunctions.Utility_DisplayArrayInTable(Common_SourceData.Common_SourceData_MCFTemperatureZone_Data(),Table_SourceData_Common_MCFTemperatureZone[[#Headers],[Temperature zone]],0)</f>
        <v>0</v>
      </c>
      <c r="R245" s="19" cm="1">
        <f t="array" ref="R245">Common_InputFunctions.Utility_DisplayArrayInTable(Common_SourceData.Common_SourceData_MCFTemperatureZone_Data(),Table_SourceData_Common_MCFTemperatureZone[[#Headers],[Temperature zone]],0)</f>
        <v>4.7000000000000002E-3</v>
      </c>
      <c r="S245" s="19" cm="1">
        <f t="array" ref="S245">Common_InputFunctions.Utility_DisplayArrayInTable(Common_SourceData.Common_SourceData_MCFTemperatureZone_Data(),Table_SourceData_Common_MCFTemperatureZone[[#Headers],[Temperature zone]],0)</f>
        <v>23</v>
      </c>
    </row>
    <row r="246" spans="1:19" ht="20.100000000000001" customHeight="1" x14ac:dyDescent="0.2">
      <c r="A246"/>
      <c r="D246" s="1" t="str" cm="1">
        <f t="array" ref="D246">Common_InputFunctions.Utility_DisplayArrayInTable(Common_SourceData.Common_SourceData_MCFTemperatureZone_Data(),Table_SourceData_Common_MCFTemperatureZone[[#Headers],[Temperature zone]],0)</f>
        <v>Temperate</v>
      </c>
      <c r="E246" s="19" cm="1">
        <f t="array" ref="E246">Common_InputFunctions.Utility_DisplayArrayInTable(Common_SourceData.Common_SourceData_MCFTemperatureZone_Data(),Table_SourceData_Common_MCFTemperatureZone[[#Headers],[Temperature zone]],0)</f>
        <v>24</v>
      </c>
      <c r="F246" s="19" cm="1">
        <f t="array" ref="F246">Common_InputFunctions.Utility_DisplayArrayInTable(Common_SourceData.Common_SourceData_MCFTemperatureZone_Data(),Table_SourceData_Common_MCFTemperatureZone[[#Headers],[Temperature zone]],0)</f>
        <v>0.79</v>
      </c>
      <c r="G246" s="19" cm="1">
        <f t="array" ref="G246">Common_InputFunctions.Utility_DisplayArrayInTable(Common_SourceData.Common_SourceData_MCFTemperatureZone_Data(),Table_SourceData_Common_MCFTemperatureZone[[#Headers],[Temperature zone]],0)</f>
        <v>0.1</v>
      </c>
      <c r="H246" s="19" cm="1">
        <f t="array" ref="H246">Common_InputFunctions.Utility_DisplayArrayInTable(Common_SourceData.Common_SourceData_MCFTemperatureZone_Data(),Table_SourceData_Common_MCFTemperatureZone[[#Headers],[Temperature zone]],0)</f>
        <v>0.37</v>
      </c>
      <c r="I246" s="19" cm="1">
        <f t="array" ref="I246">Common_InputFunctions.Utility_DisplayArrayInTable(Common_SourceData.Common_SourceData_MCFTemperatureZone_Data(),Table_SourceData_Common_MCFTemperatureZone[[#Headers],[Temperature zone]],0)</f>
        <v>5.0000000000000001E-3</v>
      </c>
      <c r="J246" s="19" cm="1">
        <f t="array" ref="J246">Common_InputFunctions.Utility_DisplayArrayInTable(Common_SourceData.Common_SourceData_MCFTemperatureZone_Data(),Table_SourceData_Common_MCFTemperatureZone[[#Headers],[Temperature zone]],0)</f>
        <v>0.01</v>
      </c>
      <c r="K246" s="19" cm="1">
        <f t="array" ref="K246">Common_InputFunctions.Utility_DisplayArrayInTable(Common_SourceData.Common_SourceData_MCFTemperatureZone_Data(),Table_SourceData_Common_MCFTemperatureZone[[#Headers],[Temperature zone]],0)</f>
        <v>0.02</v>
      </c>
      <c r="L246" s="19" cm="1">
        <f t="array" ref="L246">Common_InputFunctions.Utility_DisplayArrayInTable(Common_SourceData.Common_SourceData_MCFTemperatureZone_Data(),Table_SourceData_Common_MCFTemperatureZone[[#Headers],[Temperature zone]],0)</f>
        <v>0.03</v>
      </c>
      <c r="M246" s="19" cm="1">
        <f t="array" ref="M246">Common_InputFunctions.Utility_DisplayArrayInTable(Common_SourceData.Common_SourceData_MCFTemperatureZone_Data(),Table_SourceData_Common_MCFTemperatureZone[[#Headers],[Temperature zone]],0)</f>
        <v>0.04</v>
      </c>
      <c r="N246" s="19" cm="1">
        <f t="array" ref="N246">Common_InputFunctions.Utility_DisplayArrayInTable(Common_SourceData.Common_SourceData_MCFTemperatureZone_Data(),Table_SourceData_Common_MCFTemperatureZone[[#Headers],[Temperature zone]],0)</f>
        <v>1.4999999999999999E-2</v>
      </c>
      <c r="O246" s="19" cm="1">
        <f t="array" ref="O246">Common_InputFunctions.Utility_DisplayArrayInTable(Common_SourceData.Common_SourceData_MCFTemperatureZone_Data(),Table_SourceData_Common_MCFTemperatureZone[[#Headers],[Temperature zone]],0)</f>
        <v>1.4999999999999999E-2</v>
      </c>
      <c r="P246" s="19" cm="1">
        <f t="array" ref="P246">Common_InputFunctions.Utility_DisplayArrayInTable(Common_SourceData.Common_SourceData_MCFTemperatureZone_Data(),Table_SourceData_Common_MCFTemperatureZone[[#Headers],[Temperature zone]],0)</f>
        <v>0</v>
      </c>
      <c r="Q246" s="19" cm="1">
        <f t="array" ref="Q246">Common_InputFunctions.Utility_DisplayArrayInTable(Common_SourceData.Common_SourceData_MCFTemperatureZone_Data(),Table_SourceData_Common_MCFTemperatureZone[[#Headers],[Temperature zone]],0)</f>
        <v>0</v>
      </c>
      <c r="R246" s="19" cm="1">
        <f t="array" ref="R246">Common_InputFunctions.Utility_DisplayArrayInTable(Common_SourceData.Common_SourceData_MCFTemperatureZone_Data(),Table_SourceData_Common_MCFTemperatureZone[[#Headers],[Temperature zone]],0)</f>
        <v>4.7000000000000002E-3</v>
      </c>
      <c r="S246" s="19" cm="1">
        <f t="array" ref="S246">Common_InputFunctions.Utility_DisplayArrayInTable(Common_SourceData.Common_SourceData_MCFTemperatureZone_Data(),Table_SourceData_Common_MCFTemperatureZone[[#Headers],[Temperature zone]],0)</f>
        <v>24</v>
      </c>
    </row>
    <row r="247" spans="1:19" ht="20.100000000000001" customHeight="1" x14ac:dyDescent="0.2">
      <c r="A247"/>
      <c r="D247" s="1" t="str" cm="1">
        <f t="array" ref="D247">Common_InputFunctions.Utility_DisplayArrayInTable(Common_SourceData.Common_SourceData_MCFTemperatureZone_Data(),Table_SourceData_Common_MCFTemperatureZone[[#Headers],[Temperature zone]],0)</f>
        <v>Temperate</v>
      </c>
      <c r="E247" s="19" cm="1">
        <f t="array" ref="E247">Common_InputFunctions.Utility_DisplayArrayInTable(Common_SourceData.Common_SourceData_MCFTemperatureZone_Data(),Table_SourceData_Common_MCFTemperatureZone[[#Headers],[Temperature zone]],0)</f>
        <v>25</v>
      </c>
      <c r="F247" s="19" cm="1">
        <f t="array" ref="F247">Common_InputFunctions.Utility_DisplayArrayInTable(Common_SourceData.Common_SourceData_MCFTemperatureZone_Data(),Table_SourceData_Common_MCFTemperatureZone[[#Headers],[Temperature zone]],0)</f>
        <v>0.79</v>
      </c>
      <c r="G247" s="19" cm="1">
        <f t="array" ref="G247">Common_InputFunctions.Utility_DisplayArrayInTable(Common_SourceData.Common_SourceData_MCFTemperatureZone_Data(),Table_SourceData_Common_MCFTemperatureZone[[#Headers],[Temperature zone]],0)</f>
        <v>0.1</v>
      </c>
      <c r="H247" s="19" cm="1">
        <f t="array" ref="H247">Common_InputFunctions.Utility_DisplayArrayInTable(Common_SourceData.Common_SourceData_MCFTemperatureZone_Data(),Table_SourceData_Common_MCFTemperatureZone[[#Headers],[Temperature zone]],0)</f>
        <v>0.41</v>
      </c>
      <c r="I247" s="19" cm="1">
        <f t="array" ref="I247">Common_InputFunctions.Utility_DisplayArrayInTable(Common_SourceData.Common_SourceData_MCFTemperatureZone_Data(),Table_SourceData_Common_MCFTemperatureZone[[#Headers],[Temperature zone]],0)</f>
        <v>5.0000000000000001E-3</v>
      </c>
      <c r="J247" s="19" cm="1">
        <f t="array" ref="J247">Common_InputFunctions.Utility_DisplayArrayInTable(Common_SourceData.Common_SourceData_MCFTemperatureZone_Data(),Table_SourceData_Common_MCFTemperatureZone[[#Headers],[Temperature zone]],0)</f>
        <v>0.01</v>
      </c>
      <c r="K247" s="19" cm="1">
        <f t="array" ref="K247">Common_InputFunctions.Utility_DisplayArrayInTable(Common_SourceData.Common_SourceData_MCFTemperatureZone_Data(),Table_SourceData_Common_MCFTemperatureZone[[#Headers],[Temperature zone]],0)</f>
        <v>0.02</v>
      </c>
      <c r="L247" s="19" cm="1">
        <f t="array" ref="L247">Common_InputFunctions.Utility_DisplayArrayInTable(Common_SourceData.Common_SourceData_MCFTemperatureZone_Data(),Table_SourceData_Common_MCFTemperatureZone[[#Headers],[Temperature zone]],0)</f>
        <v>0.03</v>
      </c>
      <c r="M247" s="19" cm="1">
        <f t="array" ref="M247">Common_InputFunctions.Utility_DisplayArrayInTable(Common_SourceData.Common_SourceData_MCFTemperatureZone_Data(),Table_SourceData_Common_MCFTemperatureZone[[#Headers],[Temperature zone]],0)</f>
        <v>0.04</v>
      </c>
      <c r="N247" s="19" cm="1">
        <f t="array" ref="N247">Common_InputFunctions.Utility_DisplayArrayInTable(Common_SourceData.Common_SourceData_MCFTemperatureZone_Data(),Table_SourceData_Common_MCFTemperatureZone[[#Headers],[Temperature zone]],0)</f>
        <v>1.4999999999999999E-2</v>
      </c>
      <c r="O247" s="19" cm="1">
        <f t="array" ref="O247">Common_InputFunctions.Utility_DisplayArrayInTable(Common_SourceData.Common_SourceData_MCFTemperatureZone_Data(),Table_SourceData_Common_MCFTemperatureZone[[#Headers],[Temperature zone]],0)</f>
        <v>1.4999999999999999E-2</v>
      </c>
      <c r="P247" s="19" cm="1">
        <f t="array" ref="P247">Common_InputFunctions.Utility_DisplayArrayInTable(Common_SourceData.Common_SourceData_MCFTemperatureZone_Data(),Table_SourceData_Common_MCFTemperatureZone[[#Headers],[Temperature zone]],0)</f>
        <v>0</v>
      </c>
      <c r="Q247" s="19" cm="1">
        <f t="array" ref="Q247">Common_InputFunctions.Utility_DisplayArrayInTable(Common_SourceData.Common_SourceData_MCFTemperatureZone_Data(),Table_SourceData_Common_MCFTemperatureZone[[#Headers],[Temperature zone]],0)</f>
        <v>0</v>
      </c>
      <c r="R247" s="19" cm="1">
        <f t="array" ref="R247">Common_InputFunctions.Utility_DisplayArrayInTable(Common_SourceData.Common_SourceData_MCFTemperatureZone_Data(),Table_SourceData_Common_MCFTemperatureZone[[#Headers],[Temperature zone]],0)</f>
        <v>4.7000000000000002E-3</v>
      </c>
      <c r="S247" s="19" cm="1">
        <f t="array" ref="S247">Common_InputFunctions.Utility_DisplayArrayInTable(Common_SourceData.Common_SourceData_MCFTemperatureZone_Data(),Table_SourceData_Common_MCFTemperatureZone[[#Headers],[Temperature zone]],0)</f>
        <v>25</v>
      </c>
    </row>
    <row r="248" spans="1:19" ht="20.100000000000001" customHeight="1" x14ac:dyDescent="0.2">
      <c r="A248" s="79" t="str">
        <f>HYPERLINK("#A1", "▲ Back to top")</f>
        <v>▲ Back to top</v>
      </c>
      <c r="D248" s="1" t="str" cm="1">
        <f t="array" ref="D248">Common_InputFunctions.Utility_DisplayArrayInTable(Common_SourceData.Common_SourceData_MCFTemperatureZone_Data(),Table_SourceData_Common_MCFTemperatureZone[[#Headers],[Temperature zone]],0)</f>
        <v>Warm</v>
      </c>
      <c r="E248" s="19" cm="1">
        <f t="array" ref="E248">Common_InputFunctions.Utility_DisplayArrayInTable(Common_SourceData.Common_SourceData_MCFTemperatureZone_Data(),Table_SourceData_Common_MCFTemperatureZone[[#Headers],[Temperature zone]],0)</f>
        <v>26</v>
      </c>
      <c r="F248" s="19" cm="1">
        <f t="array" ref="F248">Common_InputFunctions.Utility_DisplayArrayInTable(Common_SourceData.Common_SourceData_MCFTemperatureZone_Data(),Table_SourceData_Common_MCFTemperatureZone[[#Headers],[Temperature zone]],0)</f>
        <v>0.79</v>
      </c>
      <c r="G248" s="19" cm="1">
        <f t="array" ref="G248">Common_InputFunctions.Utility_DisplayArrayInTable(Common_SourceData.Common_SourceData_MCFTemperatureZone_Data(),Table_SourceData_Common_MCFTemperatureZone[[#Headers],[Temperature zone]],0)</f>
        <v>0.1</v>
      </c>
      <c r="H248" s="19" cm="1">
        <f t="array" ref="H248">Common_InputFunctions.Utility_DisplayArrayInTable(Common_SourceData.Common_SourceData_MCFTemperatureZone_Data(),Table_SourceData_Common_MCFTemperatureZone[[#Headers],[Temperature zone]],0)</f>
        <v>0.44</v>
      </c>
      <c r="I248" s="19" cm="1">
        <f t="array" ref="I248">Common_InputFunctions.Utility_DisplayArrayInTable(Common_SourceData.Common_SourceData_MCFTemperatureZone_Data(),Table_SourceData_Common_MCFTemperatureZone[[#Headers],[Temperature zone]],0)</f>
        <v>0.01</v>
      </c>
      <c r="J248" s="19" cm="1">
        <f t="array" ref="J248">Common_InputFunctions.Utility_DisplayArrayInTable(Common_SourceData.Common_SourceData_MCFTemperatureZone_Data(),Table_SourceData_Common_MCFTemperatureZone[[#Headers],[Temperature zone]],0)</f>
        <v>1.4999999999999999E-2</v>
      </c>
      <c r="K248" s="19" cm="1">
        <f t="array" ref="K248">Common_InputFunctions.Utility_DisplayArrayInTable(Common_SourceData.Common_SourceData_MCFTemperatureZone_Data(),Table_SourceData_Common_MCFTemperatureZone[[#Headers],[Temperature zone]],0)</f>
        <v>0.02</v>
      </c>
      <c r="L248" s="19" cm="1">
        <f t="array" ref="L248">Common_InputFunctions.Utility_DisplayArrayInTable(Common_SourceData.Common_SourceData_MCFTemperatureZone_Data(),Table_SourceData_Common_MCFTemperatureZone[[#Headers],[Temperature zone]],0)</f>
        <v>0.03</v>
      </c>
      <c r="M248" s="19" cm="1">
        <f t="array" ref="M248">Common_InputFunctions.Utility_DisplayArrayInTable(Common_SourceData.Common_SourceData_MCFTemperatureZone_Data(),Table_SourceData_Common_MCFTemperatureZone[[#Headers],[Temperature zone]],0)</f>
        <v>0.04</v>
      </c>
      <c r="N248" s="19" cm="1">
        <f t="array" ref="N248">Common_InputFunctions.Utility_DisplayArrayInTable(Common_SourceData.Common_SourceData_MCFTemperatureZone_Data(),Table_SourceData_Common_MCFTemperatureZone[[#Headers],[Temperature zone]],0)</f>
        <v>1.4999999999999999E-2</v>
      </c>
      <c r="O248" s="19" cm="1">
        <f t="array" ref="O248">Common_InputFunctions.Utility_DisplayArrayInTable(Common_SourceData.Common_SourceData_MCFTemperatureZone_Data(),Table_SourceData_Common_MCFTemperatureZone[[#Headers],[Temperature zone]],0)</f>
        <v>1.4999999999999999E-2</v>
      </c>
      <c r="P248" s="19" cm="1">
        <f t="array" ref="P248">Common_InputFunctions.Utility_DisplayArrayInTable(Common_SourceData.Common_SourceData_MCFTemperatureZone_Data(),Table_SourceData_Common_MCFTemperatureZone[[#Headers],[Temperature zone]],0)</f>
        <v>0</v>
      </c>
      <c r="Q248" s="19" cm="1">
        <f t="array" ref="Q248">Common_InputFunctions.Utility_DisplayArrayInTable(Common_SourceData.Common_SourceData_MCFTemperatureZone_Data(),Table_SourceData_Common_MCFTemperatureZone[[#Headers],[Temperature zone]],0)</f>
        <v>0</v>
      </c>
      <c r="R248" s="19" cm="1">
        <f t="array" ref="R248">Common_InputFunctions.Utility_DisplayArrayInTable(Common_SourceData.Common_SourceData_MCFTemperatureZone_Data(),Table_SourceData_Common_MCFTemperatureZone[[#Headers],[Temperature zone]],0)</f>
        <v>4.7000000000000002E-3</v>
      </c>
      <c r="S248" s="19" cm="1">
        <f t="array" ref="S248">Common_InputFunctions.Utility_DisplayArrayInTable(Common_SourceData.Common_SourceData_MCFTemperatureZone_Data(),Table_SourceData_Common_MCFTemperatureZone[[#Headers],[Temperature zone]],0)</f>
        <v>26</v>
      </c>
    </row>
    <row r="249" spans="1:19" ht="20.100000000000001" customHeight="1" x14ac:dyDescent="0.2">
      <c r="A249"/>
      <c r="D249" s="1" t="str" cm="1">
        <f t="array" ref="D249">Common_InputFunctions.Utility_DisplayArrayInTable(Common_SourceData.Common_SourceData_MCFTemperatureZone_Data(),Table_SourceData_Common_MCFTemperatureZone[[#Headers],[Temperature zone]],0)</f>
        <v>Warm</v>
      </c>
      <c r="E249" s="19" cm="1">
        <f t="array" ref="E249">Common_InputFunctions.Utility_DisplayArrayInTable(Common_SourceData.Common_SourceData_MCFTemperatureZone_Data(),Table_SourceData_Common_MCFTemperatureZone[[#Headers],[Temperature zone]],0)</f>
        <v>27</v>
      </c>
      <c r="F249" s="19" cm="1">
        <f t="array" ref="F249">Common_InputFunctions.Utility_DisplayArrayInTable(Common_SourceData.Common_SourceData_MCFTemperatureZone_Data(),Table_SourceData_Common_MCFTemperatureZone[[#Headers],[Temperature zone]],0)</f>
        <v>0.8</v>
      </c>
      <c r="G249" s="19" cm="1">
        <f t="array" ref="G249">Common_InputFunctions.Utility_DisplayArrayInTable(Common_SourceData.Common_SourceData_MCFTemperatureZone_Data(),Table_SourceData_Common_MCFTemperatureZone[[#Headers],[Temperature zone]],0)</f>
        <v>0.1</v>
      </c>
      <c r="H249" s="19" cm="1">
        <f t="array" ref="H249">Common_InputFunctions.Utility_DisplayArrayInTable(Common_SourceData.Common_SourceData_MCFTemperatureZone_Data(),Table_SourceData_Common_MCFTemperatureZone[[#Headers],[Temperature zone]],0)</f>
        <v>0.48</v>
      </c>
      <c r="I249" s="19" cm="1">
        <f t="array" ref="I249">Common_InputFunctions.Utility_DisplayArrayInTable(Common_SourceData.Common_SourceData_MCFTemperatureZone_Data(),Table_SourceData_Common_MCFTemperatureZone[[#Headers],[Temperature zone]],0)</f>
        <v>0.01</v>
      </c>
      <c r="J249" s="19" cm="1">
        <f t="array" ref="J249">Common_InputFunctions.Utility_DisplayArrayInTable(Common_SourceData.Common_SourceData_MCFTemperatureZone_Data(),Table_SourceData_Common_MCFTemperatureZone[[#Headers],[Temperature zone]],0)</f>
        <v>1.4999999999999999E-2</v>
      </c>
      <c r="K249" s="19" cm="1">
        <f t="array" ref="K249">Common_InputFunctions.Utility_DisplayArrayInTable(Common_SourceData.Common_SourceData_MCFTemperatureZone_Data(),Table_SourceData_Common_MCFTemperatureZone[[#Headers],[Temperature zone]],0)</f>
        <v>0.02</v>
      </c>
      <c r="L249" s="19" cm="1">
        <f t="array" ref="L249">Common_InputFunctions.Utility_DisplayArrayInTable(Common_SourceData.Common_SourceData_MCFTemperatureZone_Data(),Table_SourceData_Common_MCFTemperatureZone[[#Headers],[Temperature zone]],0)</f>
        <v>0.03</v>
      </c>
      <c r="M249" s="19" cm="1">
        <f t="array" ref="M249">Common_InputFunctions.Utility_DisplayArrayInTable(Common_SourceData.Common_SourceData_MCFTemperatureZone_Data(),Table_SourceData_Common_MCFTemperatureZone[[#Headers],[Temperature zone]],0)</f>
        <v>0.04</v>
      </c>
      <c r="N249" s="19" cm="1">
        <f t="array" ref="N249">Common_InputFunctions.Utility_DisplayArrayInTable(Common_SourceData.Common_SourceData_MCFTemperatureZone_Data(),Table_SourceData_Common_MCFTemperatureZone[[#Headers],[Temperature zone]],0)</f>
        <v>1.4999999999999999E-2</v>
      </c>
      <c r="O249" s="19" cm="1">
        <f t="array" ref="O249">Common_InputFunctions.Utility_DisplayArrayInTable(Common_SourceData.Common_SourceData_MCFTemperatureZone_Data(),Table_SourceData_Common_MCFTemperatureZone[[#Headers],[Temperature zone]],0)</f>
        <v>1.4999999999999999E-2</v>
      </c>
      <c r="P249" s="19" cm="1">
        <f t="array" ref="P249">Common_InputFunctions.Utility_DisplayArrayInTable(Common_SourceData.Common_SourceData_MCFTemperatureZone_Data(),Table_SourceData_Common_MCFTemperatureZone[[#Headers],[Temperature zone]],0)</f>
        <v>0</v>
      </c>
      <c r="Q249" s="19" cm="1">
        <f t="array" ref="Q249">Common_InputFunctions.Utility_DisplayArrayInTable(Common_SourceData.Common_SourceData_MCFTemperatureZone_Data(),Table_SourceData_Common_MCFTemperatureZone[[#Headers],[Temperature zone]],0)</f>
        <v>0</v>
      </c>
      <c r="R249" s="19" cm="1">
        <f t="array" ref="R249">Common_InputFunctions.Utility_DisplayArrayInTable(Common_SourceData.Common_SourceData_MCFTemperatureZone_Data(),Table_SourceData_Common_MCFTemperatureZone[[#Headers],[Temperature zone]],0)</f>
        <v>4.7000000000000002E-3</v>
      </c>
      <c r="S249" s="19" cm="1">
        <f t="array" ref="S249">Common_InputFunctions.Utility_DisplayArrayInTable(Common_SourceData.Common_SourceData_MCFTemperatureZone_Data(),Table_SourceData_Common_MCFTemperatureZone[[#Headers],[Temperature zone]],0)</f>
        <v>27</v>
      </c>
    </row>
    <row r="250" spans="1:19" ht="20.100000000000001" customHeight="1" x14ac:dyDescent="0.2">
      <c r="A250"/>
      <c r="D250" s="1" t="str" cm="1">
        <f t="array" ref="D250">Common_InputFunctions.Utility_DisplayArrayInTable(Common_SourceData.Common_SourceData_MCFTemperatureZone_Data(),Table_SourceData_Common_MCFTemperatureZone[[#Headers],[Temperature zone]],0)</f>
        <v>Warm</v>
      </c>
      <c r="E250" s="19" t="str" cm="1">
        <f t="array" ref="E250">Common_InputFunctions.Utility_DisplayArrayInTable(Common_SourceData.Common_SourceData_MCFTemperatureZone_Data(),Table_SourceData_Common_MCFTemperatureZone[[#Headers],[Temperature zone]],0)</f>
        <v>≥28</v>
      </c>
      <c r="F250" s="19" cm="1">
        <f t="array" ref="F250">Common_InputFunctions.Utility_DisplayArrayInTable(Common_SourceData.Common_SourceData_MCFTemperatureZone_Data(),Table_SourceData_Common_MCFTemperatureZone[[#Headers],[Temperature zone]],0)</f>
        <v>0.8</v>
      </c>
      <c r="G250" s="19" cm="1">
        <f t="array" ref="G250">Common_InputFunctions.Utility_DisplayArrayInTable(Common_SourceData.Common_SourceData_MCFTemperatureZone_Data(),Table_SourceData_Common_MCFTemperatureZone[[#Headers],[Temperature zone]],0)</f>
        <v>0.1</v>
      </c>
      <c r="H250" s="19" cm="1">
        <f t="array" ref="H250">Common_InputFunctions.Utility_DisplayArrayInTable(Common_SourceData.Common_SourceData_MCFTemperatureZone_Data(),Table_SourceData_Common_MCFTemperatureZone[[#Headers],[Temperature zone]],0)</f>
        <v>0.5</v>
      </c>
      <c r="I250" s="19" cm="1">
        <f t="array" ref="I250">Common_InputFunctions.Utility_DisplayArrayInTable(Common_SourceData.Common_SourceData_MCFTemperatureZone_Data(),Table_SourceData_Common_MCFTemperatureZone[[#Headers],[Temperature zone]],0)</f>
        <v>0.01</v>
      </c>
      <c r="J250" s="19" cm="1">
        <f t="array" ref="J250">Common_InputFunctions.Utility_DisplayArrayInTable(Common_SourceData.Common_SourceData_MCFTemperatureZone_Data(),Table_SourceData_Common_MCFTemperatureZone[[#Headers],[Temperature zone]],0)</f>
        <v>1.4999999999999999E-2</v>
      </c>
      <c r="K250" s="19" cm="1">
        <f t="array" ref="K250">Common_InputFunctions.Utility_DisplayArrayInTable(Common_SourceData.Common_SourceData_MCFTemperatureZone_Data(),Table_SourceData_Common_MCFTemperatureZone[[#Headers],[Temperature zone]],0)</f>
        <v>0.02</v>
      </c>
      <c r="L250" s="19" cm="1">
        <f t="array" ref="L250">Common_InputFunctions.Utility_DisplayArrayInTable(Common_SourceData.Common_SourceData_MCFTemperatureZone_Data(),Table_SourceData_Common_MCFTemperatureZone[[#Headers],[Temperature zone]],0)</f>
        <v>0.03</v>
      </c>
      <c r="M250" s="19" cm="1">
        <f t="array" ref="M250">Common_InputFunctions.Utility_DisplayArrayInTable(Common_SourceData.Common_SourceData_MCFTemperatureZone_Data(),Table_SourceData_Common_MCFTemperatureZone[[#Headers],[Temperature zone]],0)</f>
        <v>0.04</v>
      </c>
      <c r="N250" s="19" cm="1">
        <f t="array" ref="N250">Common_InputFunctions.Utility_DisplayArrayInTable(Common_SourceData.Common_SourceData_MCFTemperatureZone_Data(),Table_SourceData_Common_MCFTemperatureZone[[#Headers],[Temperature zone]],0)</f>
        <v>1.4999999999999999E-2</v>
      </c>
      <c r="O250" s="19" cm="1">
        <f t="array" ref="O250">Common_InputFunctions.Utility_DisplayArrayInTable(Common_SourceData.Common_SourceData_MCFTemperatureZone_Data(),Table_SourceData_Common_MCFTemperatureZone[[#Headers],[Temperature zone]],0)</f>
        <v>1.4999999999999999E-2</v>
      </c>
      <c r="P250" s="19" cm="1">
        <f t="array" ref="P250">Common_InputFunctions.Utility_DisplayArrayInTable(Common_SourceData.Common_SourceData_MCFTemperatureZone_Data(),Table_SourceData_Common_MCFTemperatureZone[[#Headers],[Temperature zone]],0)</f>
        <v>0</v>
      </c>
      <c r="Q250" s="19" cm="1">
        <f t="array" ref="Q250">Common_InputFunctions.Utility_DisplayArrayInTable(Common_SourceData.Common_SourceData_MCFTemperatureZone_Data(),Table_SourceData_Common_MCFTemperatureZone[[#Headers],[Temperature zone]],0)</f>
        <v>0</v>
      </c>
      <c r="R250" s="19" cm="1">
        <f t="array" ref="R250">Common_InputFunctions.Utility_DisplayArrayInTable(Common_SourceData.Common_SourceData_MCFTemperatureZone_Data(),Table_SourceData_Common_MCFTemperatureZone[[#Headers],[Temperature zone]],0)</f>
        <v>4.7000000000000002E-3</v>
      </c>
      <c r="S250" s="19" cm="1">
        <f t="array" ref="S250">Common_InputFunctions.Utility_DisplayArrayInTable(Common_SourceData.Common_SourceData_MCFTemperatureZone_Data(),Table_SourceData_Common_MCFTemperatureZone[[#Headers],[Temperature zone]],0)</f>
        <v>28</v>
      </c>
    </row>
    <row r="251" spans="1:19" ht="20.100000000000001" customHeight="1" x14ac:dyDescent="0.2">
      <c r="A251"/>
    </row>
    <row r="252" spans="1:19" ht="20.100000000000001" customHeight="1" x14ac:dyDescent="0.2">
      <c r="A252"/>
    </row>
    <row r="253" spans="1:19" ht="20.100000000000001" customHeight="1" x14ac:dyDescent="0.2">
      <c r="A253"/>
      <c r="D253" s="2" t="str" cm="1">
        <f t="array" ref="D253">Common_SourceData.Common_SourceData_EFOrganicFertiliserAndCropResidues_Title()</f>
        <v>Emission factor for organic fertiliser and crop residues returned to the soil</v>
      </c>
    </row>
    <row r="254" spans="1:19" ht="20.100000000000001" customHeight="1" x14ac:dyDescent="0.2">
      <c r="A254"/>
      <c r="D254" s="17" t="str" cm="1">
        <f t="array" ref="D254">Common_SourceData.Common_SourceData_EFOrganicFertiliserAndCropResidues_Source()</f>
        <v>VEERG 2026: Table A.2.1.4</v>
      </c>
    </row>
    <row r="255" spans="1:19" ht="20.100000000000001" customHeight="1" x14ac:dyDescent="0.2">
      <c r="A255"/>
      <c r="D255" s="1" t="str" cm="1">
        <f t="array" ref="D255">Common_SourceData.Common_SourceData_EFOrganicFertiliserAndCropResidues_Variable()</f>
        <v>EFNi &amp; EFN2Oi</v>
      </c>
    </row>
    <row r="256" spans="1:19" ht="20.100000000000001" customHeight="1" x14ac:dyDescent="0.2">
      <c r="A256"/>
      <c r="D256" s="9" t="str" cm="1">
        <f t="array" ref="D256">Common_SourceData.Common_SourceData_EFOrganicFertiliserAndCropResidues_Unit()</f>
        <v>kg N2O - N / kg N</v>
      </c>
    </row>
    <row r="257" spans="1:66" ht="20.100000000000001" customHeight="1" x14ac:dyDescent="0.2">
      <c r="A257"/>
      <c r="D257" s="19" t="s">
        <v>84</v>
      </c>
      <c r="E257" s="19" t="s">
        <v>85</v>
      </c>
    </row>
    <row r="258" spans="1:66" ht="20.100000000000001" customHeight="1" x14ac:dyDescent="0.2">
      <c r="A258"/>
      <c r="D258" s="19" t="str" cm="1">
        <f t="array" ref="D258">Common_InputFunctions.Utility_DisplayArrayInTable(Common_SourceData.Common_SourceData_EFOrganicFertiliserAndCropResidues_Data(), Table_SourceData_Common_EFOrganicFertCropResidues[[#Headers],[Climate Zone]], 0)</f>
        <v>Wet climate zone</v>
      </c>
      <c r="E258" s="19" cm="1">
        <f t="array" ref="E258">Common_InputFunctions.Utility_DisplayArrayInTable(Common_SourceData.Common_SourceData_EFOrganicFertiliserAndCropResidues_Data(), Table_SourceData_Common_EFOrganicFertCropResidues[[#Headers],[Climate Zone]], 0)</f>
        <v>6.0000000000000001E-3</v>
      </c>
    </row>
    <row r="259" spans="1:66" ht="20.100000000000001" customHeight="1" x14ac:dyDescent="0.2">
      <c r="A259"/>
      <c r="D259" s="1" t="str" cm="1">
        <f t="array" ref="D259">Common_InputFunctions.Utility_DisplayArrayInTable(Common_SourceData.Common_SourceData_EFOrganicFertiliserAndCropResidues_Data(), Table_SourceData_Common_EFOrganicFertCropResidues[[#Headers],[Climate Zone]], 0)</f>
        <v>Dry climate zone</v>
      </c>
      <c r="E259" s="19" cm="1">
        <f t="array" ref="E259">Common_InputFunctions.Utility_DisplayArrayInTable(Common_SourceData.Common_SourceData_EFOrganicFertiliserAndCropResidues_Data(), Table_SourceData_Common_EFOrganicFertCropResidues[[#Headers],[Climate Zone]], 0)</f>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154</v>
      </c>
    </row>
    <row r="264" spans="1:66" ht="20.100000000000001" customHeight="1" x14ac:dyDescent="0.2">
      <c r="A264"/>
      <c r="D264" s="1" t="s">
        <v>155</v>
      </c>
    </row>
    <row r="265" spans="1:66" ht="20.100000000000001" customHeight="1" x14ac:dyDescent="0.2">
      <c r="A265"/>
      <c r="D265" s="19" t="s">
        <v>198</v>
      </c>
      <c r="E265" s="19" t="s">
        <v>156</v>
      </c>
      <c r="F265" s="19" t="s">
        <v>157</v>
      </c>
      <c r="G265" s="19" t="s">
        <v>150</v>
      </c>
      <c r="V265" s="1"/>
      <c r="BN265" s="21"/>
    </row>
    <row r="266" spans="1:66" ht="20.100000000000001" customHeight="1" x14ac:dyDescent="0.2">
      <c r="A266"/>
      <c r="D266" s="19" t="s">
        <v>199</v>
      </c>
      <c r="E266" s="19" t="s">
        <v>158</v>
      </c>
      <c r="F266" s="19" t="s">
        <v>159</v>
      </c>
      <c r="G266" s="19">
        <v>5</v>
      </c>
      <c r="V266" s="1"/>
      <c r="BN266" s="21"/>
    </row>
    <row r="267" spans="1:66" ht="20.100000000000001" customHeight="1" x14ac:dyDescent="0.2">
      <c r="A267"/>
      <c r="D267" s="19" t="s">
        <v>200</v>
      </c>
      <c r="E267" s="19" t="s">
        <v>160</v>
      </c>
      <c r="F267" s="19" t="s">
        <v>151</v>
      </c>
      <c r="G267" s="19">
        <v>4</v>
      </c>
      <c r="V267" s="1"/>
      <c r="BN267" s="21"/>
    </row>
    <row r="268" spans="1:66" ht="20.100000000000001" customHeight="1" x14ac:dyDescent="0.2">
      <c r="A268"/>
      <c r="D268" s="19" t="s">
        <v>201</v>
      </c>
      <c r="E268" s="19" t="s">
        <v>161</v>
      </c>
      <c r="F268" s="19" t="s">
        <v>162</v>
      </c>
      <c r="G268" s="19">
        <v>3</v>
      </c>
      <c r="V268" s="1"/>
      <c r="BN268" s="21"/>
    </row>
    <row r="269" spans="1:66" ht="20.100000000000001" customHeight="1" x14ac:dyDescent="0.2">
      <c r="A269"/>
      <c r="D269" s="19" t="s">
        <v>202</v>
      </c>
      <c r="E269" s="19" t="s">
        <v>163</v>
      </c>
      <c r="F269" s="19" t="s">
        <v>164</v>
      </c>
      <c r="G269" s="19">
        <v>2</v>
      </c>
      <c r="V269" s="1"/>
      <c r="BN269" s="21"/>
    </row>
    <row r="270" spans="1:66" ht="20.100000000000001" customHeight="1" x14ac:dyDescent="0.2">
      <c r="A270"/>
      <c r="D270" s="19" t="s">
        <v>203</v>
      </c>
      <c r="E270" s="19" t="s">
        <v>165</v>
      </c>
      <c r="F270" s="19" t="s">
        <v>166</v>
      </c>
      <c r="G270" s="19">
        <v>1</v>
      </c>
      <c r="V270" s="1"/>
      <c r="BN270" s="21"/>
    </row>
    <row r="271" spans="1:66" ht="20.100000000000001" customHeight="1" x14ac:dyDescent="0.2">
      <c r="A271"/>
    </row>
    <row r="272" spans="1:66" ht="20.100000000000001" customHeight="1" x14ac:dyDescent="0.2">
      <c r="A272"/>
    </row>
    <row r="273" spans="1:66" ht="20.100000000000001" customHeight="1" x14ac:dyDescent="0.2">
      <c r="A273"/>
      <c r="D273" s="1" t="s">
        <v>167</v>
      </c>
    </row>
    <row r="274" spans="1:66" ht="20.100000000000001" customHeight="1" x14ac:dyDescent="0.2">
      <c r="A274"/>
      <c r="D274" s="19" t="s">
        <v>198</v>
      </c>
      <c r="E274" s="19" t="s">
        <v>156</v>
      </c>
      <c r="F274" s="19" t="s">
        <v>157</v>
      </c>
      <c r="G274" s="19" t="s">
        <v>150</v>
      </c>
      <c r="V274" s="1"/>
      <c r="BN274" s="21"/>
    </row>
    <row r="275" spans="1:66" ht="20.100000000000001" customHeight="1" x14ac:dyDescent="0.2">
      <c r="A275"/>
      <c r="D275" s="19" t="s">
        <v>204</v>
      </c>
      <c r="E275" s="19" t="s">
        <v>168</v>
      </c>
      <c r="F275" s="19" t="s">
        <v>152</v>
      </c>
      <c r="G275" s="19">
        <v>5</v>
      </c>
      <c r="V275" s="1"/>
      <c r="BN275" s="21"/>
    </row>
    <row r="276" spans="1:66" ht="20.100000000000001" customHeight="1" x14ac:dyDescent="0.2">
      <c r="A276"/>
      <c r="D276" s="19" t="s">
        <v>205</v>
      </c>
      <c r="E276" s="19" t="s">
        <v>169</v>
      </c>
      <c r="F276" s="19" t="s">
        <v>170</v>
      </c>
      <c r="G276" s="19">
        <v>4</v>
      </c>
      <c r="V276" s="1"/>
      <c r="BN276" s="21"/>
    </row>
    <row r="277" spans="1:66" ht="20.100000000000001" customHeight="1" x14ac:dyDescent="0.2">
      <c r="A277"/>
      <c r="D277" s="19" t="s">
        <v>206</v>
      </c>
      <c r="E277" s="19" t="s">
        <v>171</v>
      </c>
      <c r="F277" s="19" t="s">
        <v>172</v>
      </c>
      <c r="G277" s="19">
        <v>3</v>
      </c>
      <c r="V277" s="1"/>
      <c r="BN277" s="21"/>
    </row>
    <row r="278" spans="1:66" ht="20.100000000000001" customHeight="1" x14ac:dyDescent="0.2">
      <c r="A278" s="79" t="str">
        <f>HYPERLINK("#A1", "▲ Back to top")</f>
        <v>▲ Back to top</v>
      </c>
      <c r="D278" s="19" t="s">
        <v>207</v>
      </c>
      <c r="E278" s="19" t="s">
        <v>173</v>
      </c>
      <c r="F278" s="19" t="s">
        <v>174</v>
      </c>
      <c r="G278" s="19">
        <v>2</v>
      </c>
      <c r="V278" s="1"/>
      <c r="BN278" s="21"/>
    </row>
    <row r="279" spans="1:66" ht="20.100000000000001" customHeight="1" x14ac:dyDescent="0.2">
      <c r="A279"/>
      <c r="D279" s="19" t="s">
        <v>208</v>
      </c>
      <c r="E279" s="19" t="s">
        <v>175</v>
      </c>
      <c r="F279" s="19" t="s">
        <v>176</v>
      </c>
      <c r="G279" s="19">
        <v>1</v>
      </c>
      <c r="V279" s="1"/>
      <c r="BN279" s="21"/>
    </row>
    <row r="280" spans="1:66" ht="20.100000000000001" customHeight="1" x14ac:dyDescent="0.2">
      <c r="A280"/>
    </row>
    <row r="281" spans="1:66" ht="20.100000000000001" customHeight="1" x14ac:dyDescent="0.2">
      <c r="A281"/>
    </row>
    <row r="282" spans="1:66" ht="20.100000000000001" customHeight="1" x14ac:dyDescent="0.2">
      <c r="A282"/>
      <c r="D282" s="1" t="s">
        <v>177</v>
      </c>
    </row>
    <row r="283" spans="1:66" ht="20.100000000000001" customHeight="1" x14ac:dyDescent="0.2">
      <c r="A283"/>
      <c r="D283" s="19" t="s">
        <v>198</v>
      </c>
      <c r="E283" s="19" t="s">
        <v>156</v>
      </c>
      <c r="F283" s="19" t="s">
        <v>157</v>
      </c>
      <c r="G283" s="19" t="s">
        <v>150</v>
      </c>
      <c r="V283" s="1"/>
      <c r="BN283" s="21"/>
    </row>
    <row r="284" spans="1:66" ht="20.100000000000001" customHeight="1" x14ac:dyDescent="0.2">
      <c r="A284"/>
      <c r="D284" s="19" t="s">
        <v>209</v>
      </c>
      <c r="E284" s="19" t="s">
        <v>178</v>
      </c>
      <c r="F284" s="19" t="s">
        <v>179</v>
      </c>
      <c r="G284" s="19">
        <v>5</v>
      </c>
      <c r="V284" s="1"/>
      <c r="BN284" s="21"/>
    </row>
    <row r="285" spans="1:66" ht="20.100000000000001" customHeight="1" x14ac:dyDescent="0.2">
      <c r="A285"/>
      <c r="D285" s="19" t="s">
        <v>210</v>
      </c>
      <c r="E285" s="19" t="s">
        <v>180</v>
      </c>
      <c r="F285" s="19" t="s">
        <v>181</v>
      </c>
      <c r="G285" s="19">
        <v>4</v>
      </c>
      <c r="V285" s="1"/>
      <c r="BN285" s="21"/>
    </row>
    <row r="286" spans="1:66" ht="20.100000000000001" customHeight="1" x14ac:dyDescent="0.2">
      <c r="A286"/>
      <c r="D286" s="19" t="s">
        <v>211</v>
      </c>
      <c r="E286" s="19" t="s">
        <v>182</v>
      </c>
      <c r="F286" s="19" t="s">
        <v>153</v>
      </c>
      <c r="G286" s="19">
        <v>3</v>
      </c>
      <c r="V286" s="1"/>
      <c r="BN286" s="21"/>
    </row>
    <row r="287" spans="1:66" ht="20.100000000000001" customHeight="1" x14ac:dyDescent="0.2">
      <c r="A287"/>
      <c r="D287" s="19" t="s">
        <v>212</v>
      </c>
      <c r="E287" s="19" t="s">
        <v>183</v>
      </c>
      <c r="F287" s="19" t="s">
        <v>184</v>
      </c>
      <c r="G287" s="19">
        <v>2</v>
      </c>
      <c r="V287" s="1"/>
      <c r="BN287" s="21"/>
    </row>
    <row r="288" spans="1:66" ht="20.100000000000001" customHeight="1" x14ac:dyDescent="0.2">
      <c r="A288"/>
      <c r="D288" s="19" t="s">
        <v>213</v>
      </c>
      <c r="E288" s="19" t="s">
        <v>185</v>
      </c>
      <c r="F288" s="19" t="s">
        <v>186</v>
      </c>
      <c r="G288" s="19">
        <v>1</v>
      </c>
      <c r="V288" s="1"/>
      <c r="BN288" s="21"/>
    </row>
    <row r="289" spans="1:66" ht="20.100000000000001" customHeight="1" x14ac:dyDescent="0.2">
      <c r="A289"/>
    </row>
    <row r="290" spans="1:66" ht="20.100000000000001" customHeight="1" x14ac:dyDescent="0.2">
      <c r="A290"/>
    </row>
    <row r="291" spans="1:66" ht="20.100000000000001" customHeight="1" x14ac:dyDescent="0.2">
      <c r="A291"/>
      <c r="D291" s="1" t="s">
        <v>187</v>
      </c>
    </row>
    <row r="292" spans="1:66" ht="20.100000000000001" customHeight="1" x14ac:dyDescent="0.2">
      <c r="A292"/>
      <c r="D292" s="19" t="s">
        <v>198</v>
      </c>
      <c r="E292" s="19" t="s">
        <v>156</v>
      </c>
      <c r="F292" s="19" t="s">
        <v>157</v>
      </c>
      <c r="G292" s="19" t="s">
        <v>150</v>
      </c>
      <c r="V292" s="1"/>
      <c r="BN292" s="21"/>
    </row>
    <row r="293" spans="1:66" ht="20.100000000000001" customHeight="1" x14ac:dyDescent="0.2">
      <c r="A293"/>
      <c r="D293" s="19" t="s">
        <v>214</v>
      </c>
      <c r="E293" s="19" t="s">
        <v>188</v>
      </c>
      <c r="F293" s="19" t="s">
        <v>189</v>
      </c>
      <c r="G293" s="19">
        <v>5</v>
      </c>
      <c r="V293" s="1"/>
      <c r="BN293" s="21"/>
    </row>
    <row r="294" spans="1:66" ht="20.100000000000001" customHeight="1" x14ac:dyDescent="0.2">
      <c r="A294"/>
      <c r="D294" s="19" t="s">
        <v>215</v>
      </c>
      <c r="E294" s="19" t="s">
        <v>190</v>
      </c>
      <c r="F294" s="19" t="s">
        <v>191</v>
      </c>
      <c r="G294" s="19">
        <v>4</v>
      </c>
      <c r="V294" s="1"/>
      <c r="BN294" s="21"/>
    </row>
    <row r="295" spans="1:66" ht="20.100000000000001" customHeight="1" x14ac:dyDescent="0.2">
      <c r="A295"/>
      <c r="D295" s="19" t="s">
        <v>216</v>
      </c>
      <c r="E295" s="19" t="s">
        <v>192</v>
      </c>
      <c r="F295" s="19" t="s">
        <v>193</v>
      </c>
      <c r="G295" s="19">
        <v>3</v>
      </c>
      <c r="V295" s="1"/>
      <c r="BN295" s="21"/>
    </row>
    <row r="296" spans="1:66" ht="20.100000000000001" customHeight="1" x14ac:dyDescent="0.2">
      <c r="A296"/>
      <c r="D296" s="19" t="s">
        <v>217</v>
      </c>
      <c r="E296" s="19" t="s">
        <v>194</v>
      </c>
      <c r="F296" s="19" t="s">
        <v>195</v>
      </c>
      <c r="G296" s="19">
        <v>2</v>
      </c>
      <c r="V296" s="1"/>
      <c r="BN296" s="21"/>
    </row>
    <row r="297" spans="1:66" ht="20.100000000000001" customHeight="1" x14ac:dyDescent="0.2">
      <c r="A297"/>
      <c r="D297" s="19" t="s">
        <v>218</v>
      </c>
      <c r="E297" s="19" t="s">
        <v>196</v>
      </c>
      <c r="F297" s="19" t="s">
        <v>197</v>
      </c>
      <c r="G297" s="19">
        <v>1</v>
      </c>
      <c r="V297" s="1"/>
      <c r="BN297" s="21"/>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FAA27-6BA7-4C13-B27B-ABCE293E5A32}">
  <sheetPr>
    <tabColor theme="5" tint="-0.249977111117893"/>
  </sheetPr>
  <dimension ref="A1:K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681</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1" t="s">
        <v>311</v>
      </c>
      <c r="E5" s="13" t="s">
        <v>325</v>
      </c>
      <c r="F5" s="16" t="s">
        <v>100</v>
      </c>
    </row>
    <row r="6" spans="1:11" ht="20.100000000000001" customHeight="1" x14ac:dyDescent="0.2">
      <c r="D6" s="1" t="s">
        <v>682</v>
      </c>
      <c r="E6" s="13" t="s">
        <v>683</v>
      </c>
      <c r="F6" s="16" t="s">
        <v>100</v>
      </c>
    </row>
    <row r="7" spans="1:11" ht="20.100000000000001" customHeight="1" x14ac:dyDescent="0.2">
      <c r="D7" s="1" t="s">
        <v>63</v>
      </c>
      <c r="E7" s="13" t="s">
        <v>517</v>
      </c>
      <c r="F7" s="16" t="s">
        <v>100</v>
      </c>
    </row>
    <row r="8" spans="1:11" ht="20.100000000000001" customHeight="1" x14ac:dyDescent="0.2">
      <c r="A8" s="7" t="s">
        <v>0</v>
      </c>
      <c r="D8" s="1" t="s">
        <v>684</v>
      </c>
      <c r="E8" s="74">
        <v>100</v>
      </c>
      <c r="F8" s="16" t="s">
        <v>685</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Poultry'!A1", "Poultry")</f>
        <v>Poultry</v>
      </c>
    </row>
    <row r="12" spans="1:11" ht="20.100000000000001" customHeight="1" x14ac:dyDescent="0.2">
      <c r="A12" s="5" t="str">
        <f>HYPERLINK("#'Input - Livestock sales'!A1", "Livestock sales")</f>
        <v>Livestock sales</v>
      </c>
    </row>
    <row r="13" spans="1:11" ht="20.100000000000001" customHeight="1" x14ac:dyDescent="0.2">
      <c r="A13" s="5" t="str">
        <f>HYPERLINK("#'Input - Poultry purchases'!A1", "Poultry purchases")</f>
        <v>Poultry purchases</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100"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3">
    <dataValidation type="list" allowBlank="1" showInputMessage="1" showErrorMessage="1" sqref="E5" xr:uid="{5512FA74-E9CB-4052-B36A-569AAAEE8622}">
      <formula1>INDIRECT("Table_SourceData_Fertiliser_CropProdSystems[Production system]")</formula1>
    </dataValidation>
    <dataValidation type="list" allowBlank="1" showInputMessage="1" showErrorMessage="1" sqref="E7" xr:uid="{AC74BB2F-D798-45D1-B5F0-18A1B020DD2D}">
      <formula1>INDIRECT("Table_SourceData_Fertiliser_IrrigationMethods[Irrigation method]")</formula1>
    </dataValidation>
    <dataValidation type="list" allowBlank="1" showInputMessage="1" showErrorMessage="1" sqref="E6" xr:uid="{EDD219A3-7816-49B7-B59E-0B5FB561184E}">
      <formula1>INDIRECT("Table_SourceData_Fertiliser_CropTypes[Production system]")</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D0A2-3FF8-4174-91B6-7C44A68976C6}">
  <sheetPr>
    <tabColor theme="5" tint="-0.249977111117893"/>
  </sheetPr>
  <dimension ref="A1:AA378"/>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686</v>
      </c>
    </row>
    <row r="2" spans="1:27" s="3" customFormat="1" ht="20.100000000000001" customHeight="1" x14ac:dyDescent="0.2">
      <c r="A2"/>
    </row>
    <row r="3" spans="1:27" ht="20.100000000000001" customHeight="1" x14ac:dyDescent="0.2">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687</v>
      </c>
      <c r="E5" s="24"/>
      <c r="F5" s="24"/>
      <c r="G5" s="24"/>
      <c r="H5" s="24"/>
      <c r="I5" s="24"/>
      <c r="J5" s="24"/>
      <c r="K5" s="24"/>
      <c r="L5" s="24"/>
      <c r="M5" s="24"/>
    </row>
    <row r="6" spans="1:27" ht="20.100000000000001" customHeight="1" x14ac:dyDescent="0.2">
      <c r="D6" s="8"/>
      <c r="E6" s="8"/>
      <c r="F6" s="8"/>
      <c r="G6" s="8"/>
      <c r="H6" s="8"/>
      <c r="I6" s="8"/>
      <c r="J6" s="8"/>
      <c r="K6" s="8"/>
      <c r="L6" s="8"/>
      <c r="M6" s="8"/>
    </row>
    <row r="7" spans="1:27" ht="20.100000000000001" customHeight="1" x14ac:dyDescent="0.2">
      <c r="D7" s="131" t="s">
        <v>688</v>
      </c>
      <c r="E7" s="43"/>
      <c r="F7" s="43"/>
      <c r="G7" s="43"/>
      <c r="H7" s="44"/>
      <c r="I7" s="193"/>
      <c r="J7" s="194"/>
      <c r="K7" s="194"/>
      <c r="L7" s="194"/>
      <c r="M7" s="194"/>
    </row>
    <row r="8" spans="1:27" ht="20.100000000000001" customHeight="1" x14ac:dyDescent="0.2">
      <c r="A8" s="7" t="s">
        <v>0</v>
      </c>
      <c r="D8" s="45" t="s">
        <v>689</v>
      </c>
      <c r="E8" s="46"/>
      <c r="F8" s="46"/>
      <c r="G8" s="46"/>
      <c r="H8" s="47"/>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7" t="s">
        <v>690</v>
      </c>
      <c r="E10" s="8"/>
      <c r="F10" s="8"/>
      <c r="G10" s="8"/>
      <c r="H10" s="8"/>
      <c r="I10" s="8"/>
      <c r="J10" s="8"/>
      <c r="K10" s="8"/>
      <c r="L10" s="8"/>
      <c r="M10" s="8"/>
    </row>
    <row r="11" spans="1:27" ht="20.100000000000001" customHeight="1" x14ac:dyDescent="0.2">
      <c r="A11" s="5" t="str">
        <f>HYPERLINK("#'Input - Poultry'!A1", "Poultry")</f>
        <v>Poultry</v>
      </c>
      <c r="D11" s="195" t="s">
        <v>691</v>
      </c>
      <c r="E11" s="196" t="s">
        <v>692</v>
      </c>
      <c r="F11" s="197" t="s">
        <v>693</v>
      </c>
      <c r="G11" s="196" t="s">
        <v>694</v>
      </c>
      <c r="H11" s="197" t="s">
        <v>695</v>
      </c>
      <c r="I11" s="196" t="s">
        <v>696</v>
      </c>
      <c r="J11" s="195" t="s">
        <v>697</v>
      </c>
      <c r="K11" s="195" t="s">
        <v>698</v>
      </c>
      <c r="L11" s="195" t="s">
        <v>699</v>
      </c>
      <c r="M11" s="195" t="s">
        <v>700</v>
      </c>
      <c r="N11" s="195" t="s">
        <v>701</v>
      </c>
      <c r="O11" s="195" t="s">
        <v>702</v>
      </c>
      <c r="P11" s="195" t="s">
        <v>703</v>
      </c>
      <c r="Q11" s="195" t="s">
        <v>704</v>
      </c>
      <c r="R11" s="195" t="s">
        <v>705</v>
      </c>
      <c r="S11" s="195" t="s">
        <v>706</v>
      </c>
      <c r="T11" s="195" t="s">
        <v>707</v>
      </c>
      <c r="U11" s="195" t="s">
        <v>708</v>
      </c>
      <c r="V11" s="195" t="s">
        <v>709</v>
      </c>
      <c r="W11" s="195" t="s">
        <v>710</v>
      </c>
      <c r="X11" s="195" t="s">
        <v>711</v>
      </c>
      <c r="Y11" s="195" t="s">
        <v>712</v>
      </c>
      <c r="Z11" s="195" t="s">
        <v>713</v>
      </c>
    </row>
    <row r="12" spans="1:27" ht="20.100000000000001" customHeight="1" x14ac:dyDescent="0.2">
      <c r="A12" s="5" t="str">
        <f>HYPERLINK("#'Input - Livestock sales'!A1", "Livestock sales")</f>
        <v>Livestock sales</v>
      </c>
      <c r="D12" s="198" t="s">
        <v>714</v>
      </c>
      <c r="E12" s="199">
        <v>100</v>
      </c>
      <c r="F12" s="15" t="str">
        <f>IFERROR(_xlfn.XLOOKUP(Table_Input_InorganicFertiliser_Brands[[#This Row],[Product (select)]],FertiliserProducts[Product],FertiliserProducts[Unit]), "kg")</f>
        <v>kg</v>
      </c>
      <c r="G12" s="199">
        <f t="shared" ref="G12" si="0">X_Cell_Fertiliser_AreaUnderCropping</f>
        <v>100</v>
      </c>
      <c r="H12" s="200">
        <f>IFERROR(_xlfn.XLOOKUP(Table_Input_InorganicFertiliser_Brands[[#This Row],[Product (select)]],FertiliserProducts[Product],FertiliserProducts[Density]), 1)</f>
        <v>1</v>
      </c>
      <c r="I12" s="201">
        <f>(Table_Input_InorganicFertiliser_Brands[[#This Row],[Amount applied per hectare]]*Table_Input_InorganicFertiliser_Brands[[#This Row],[Density]])*Table_Input_InorganicFertiliser_Brands[[#This Row],[Application area (ha)]]</f>
        <v>10000</v>
      </c>
      <c r="J12" s="201"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201"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201"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201"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201"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201"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201"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201"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201"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201"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201"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201"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201" cm="1">
        <f t="array" ref="W12">IFERROR(Fertiliser_InputFunctions.Fertiliser_FertiliserProductLookup(Table_Input_InorganicFertiliser_Brands[[#This Row],[Product (select)]], "N declared", FertiliserProducts[#Data], FertiliserProducts[Product], FertiliserProducts[#Headers])*0.01, 0)</f>
        <v>0.46</v>
      </c>
      <c r="X12"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201" t="str">
        <f>IFERROR(_xlfn.XLOOKUP(Table_Input_InorganicFertiliser_Brands[[#This Row],[Product (select)]],FertiliserProducts[Product],FertiliserProducts[Urea source]), "")</f>
        <v/>
      </c>
      <c r="Z12" s="201" t="str">
        <f>IFERROR(_xlfn.XLOOKUP(Table_Input_InorganicFertiliser_Brands[[#This Row],[Product (select)]],FertiliserProducts[Product],FertiliserProducts[Ammonia source]), "")</f>
        <v/>
      </c>
    </row>
    <row r="13" spans="1:27" ht="20.100000000000001" customHeight="1" x14ac:dyDescent="0.2">
      <c r="A13" s="5" t="str">
        <f>HYPERLINK("#'Input - Poultry purchases'!A1", "Poultry purchases")</f>
        <v>Poultry purchases</v>
      </c>
      <c r="D13" s="198" t="s">
        <v>715</v>
      </c>
      <c r="E13" s="199">
        <v>100</v>
      </c>
      <c r="F13" s="15" t="str">
        <f>IFERROR(_xlfn.XLOOKUP(Table_Input_InorganicFertiliser_Brands[[#This Row],[Product (select)]],FertiliserProducts[Product],FertiliserProducts[Unit]), "kg")</f>
        <v>kg</v>
      </c>
      <c r="G13" s="199">
        <f t="shared" ref="G13" si="1">X_Cell_Fertiliser_AreaUnderCropping</f>
        <v>100</v>
      </c>
      <c r="H13" s="200">
        <f>IFERROR(_xlfn.XLOOKUP(Table_Input_InorganicFertiliser_Brands[[#This Row],[Product (select)]],FertiliserProducts[Product],FertiliserProducts[Density]), 1)</f>
        <v>1</v>
      </c>
      <c r="I13" s="201">
        <f>(Table_Input_InorganicFertiliser_Brands[[#This Row],[Amount applied per hectare]]*Table_Input_InorganicFertiliser_Brands[[#This Row],[Density]])*Table_Input_InorganicFertiliser_Brands[[#This Row],[Application area (ha)]]</f>
        <v>10000</v>
      </c>
      <c r="J13" s="201"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201"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201"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201"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201"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201"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201"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201"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201"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201"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201"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201"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02" cm="1">
        <f t="array" ref="W13">IFERROR(Fertiliser_InputFunctions.Fertiliser_FertiliserProductLookup(Table_Input_InorganicFertiliser_Brands[[#This Row],[Product (select)]], "N declared", FertiliserProducts[#Data], FertiliserProducts[Product], FertiliserProducts[#Headers])*0.01, 0)</f>
        <v>0.24</v>
      </c>
      <c r="X13"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201" t="str">
        <f>IFERROR(_xlfn.XLOOKUP(Table_Input_InorganicFertiliser_Brands[[#This Row],[Product (select)]],FertiliserProducts[Product],FertiliserProducts[Urea source]), "")</f>
        <v/>
      </c>
      <c r="Z13" s="201" t="str">
        <f>IFERROR(_xlfn.XLOOKUP(Table_Input_InorganicFertiliser_Brands[[#This Row],[Product (select)]],FertiliserProducts[Product],FertiliserProducts[Ammonia source]), "")</f>
        <v/>
      </c>
    </row>
    <row r="14" spans="1:27" ht="20.100000000000001" customHeight="1" x14ac:dyDescent="0.2">
      <c r="A14" s="5" t="str">
        <f>HYPERLINK("#'Input - Fuel'!A1", "Fuel")</f>
        <v>Fuel</v>
      </c>
      <c r="D14" s="198" t="s">
        <v>716</v>
      </c>
      <c r="E14" s="199">
        <v>100</v>
      </c>
      <c r="F14" s="15" t="str">
        <f>IFERROR(_xlfn.XLOOKUP(Table_Input_InorganicFertiliser_Brands[[#This Row],[Product (select)]],FertiliserProducts[Product],FertiliserProducts[Unit]), "kg")</f>
        <v>kg</v>
      </c>
      <c r="G14" s="199">
        <f t="shared" ref="G14" si="2">X_Cell_Fertiliser_AreaUnderCropping</f>
        <v>100</v>
      </c>
      <c r="H14" s="200">
        <f>IFERROR(_xlfn.XLOOKUP(Table_Input_InorganicFertiliser_Brands[[#This Row],[Product (select)]],FertiliserProducts[Product],FertiliserProducts[Density]), 1)</f>
        <v>1</v>
      </c>
      <c r="I14" s="201">
        <f>(Table_Input_InorganicFertiliser_Brands[[#This Row],[Amount applied per hectare]]*Table_Input_InorganicFertiliser_Brands[[#This Row],[Density]])*Table_Input_InorganicFertiliser_Brands[[#This Row],[Application area (ha)]]</f>
        <v>10000</v>
      </c>
      <c r="J14" s="201"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201"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201"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201"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201"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201"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201"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201"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201"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201"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201"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201"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02" cm="1">
        <f t="array" ref="W14">IFERROR(Fertiliser_InputFunctions.Fertiliser_FertiliserProductLookup(Table_Input_InorganicFertiliser_Brands[[#This Row],[Product (select)]], "N declared", FertiliserProducts[#Data], FertiliserProducts[Product], FertiliserProducts[#Headers])*0.01, 0)</f>
        <v>0.17899999999999999</v>
      </c>
      <c r="X14"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201" t="str">
        <f>IFERROR(_xlfn.XLOOKUP(Table_Input_InorganicFertiliser_Brands[[#This Row],[Product (select)]],FertiliserProducts[Product],FertiliserProducts[Urea source]), "")</f>
        <v/>
      </c>
      <c r="Z14" s="201" t="str">
        <f>IFERROR(_xlfn.XLOOKUP(Table_Input_InorganicFertiliser_Brands[[#This Row],[Product (select)]],FertiliserProducts[Product],FertiliserProducts[Ammonia source]), "")</f>
        <v/>
      </c>
    </row>
    <row r="15" spans="1:27" ht="20.100000000000001" customHeight="1" x14ac:dyDescent="0.2">
      <c r="A15" s="5" t="str">
        <f>HYPERLINK("#'Input - Electricity'!A1", "Electricity")</f>
        <v>Electricity</v>
      </c>
      <c r="D15" s="198"/>
      <c r="E15" s="199"/>
      <c r="F15" s="15" t="str">
        <f>IFERROR(_xlfn.XLOOKUP(Table_Input_InorganicFertiliser_Brands[[#This Row],[Product (select)]],FertiliserProducts[Product],FertiliserProducts[Unit]), "kg")</f>
        <v>kg</v>
      </c>
      <c r="G15" s="199">
        <f t="shared" ref="G15" si="3">X_Cell_Fertiliser_AreaUnderCropping</f>
        <v>100</v>
      </c>
      <c r="H15" s="200">
        <f>IFERROR(_xlfn.XLOOKUP(Table_Input_InorganicFertiliser_Brands[[#This Row],[Product (select)]],FertiliserProducts[Product],FertiliserProducts[Density]), 1)</f>
        <v>1</v>
      </c>
      <c r="I15" s="201">
        <f>(Table_Input_InorganicFertiliser_Brands[[#This Row],[Amount applied per hectare]]*Table_Input_InorganicFertiliser_Brands[[#This Row],[Density]])*Table_Input_InorganicFertiliser_Brands[[#This Row],[Application area (ha)]]</f>
        <v>0</v>
      </c>
      <c r="J15" s="201"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201"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201"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201"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201"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201"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201"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201"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201"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201"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201"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201"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02" cm="1">
        <f t="array" ref="W15">IFERROR(Fertiliser_InputFunctions.Fertiliser_FertiliserProductLookup(Table_Input_InorganicFertiliser_Brands[[#This Row],[Product (select)]], "N declared", FertiliserProducts[#Data], FertiliserProducts[Product], FertiliserProducts[#Headers])*0.01, 0)</f>
        <v>0</v>
      </c>
      <c r="X15"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201" t="str">
        <f>IFERROR(_xlfn.XLOOKUP(Table_Input_InorganicFertiliser_Brands[[#This Row],[Product (select)]],FertiliserProducts[Product],FertiliserProducts[Urea source]), "")</f>
        <v/>
      </c>
      <c r="Z15" s="201"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198"/>
      <c r="E16" s="199"/>
      <c r="F16" s="15" t="str">
        <f>IFERROR(_xlfn.XLOOKUP(Table_Input_InorganicFertiliser_Brands[[#This Row],[Product (select)]],FertiliserProducts[Product],FertiliserProducts[Unit]), "kg")</f>
        <v>kg</v>
      </c>
      <c r="G16" s="199">
        <f t="shared" ref="G16" si="4">X_Cell_Fertiliser_AreaUnderCropping</f>
        <v>100</v>
      </c>
      <c r="H16" s="200">
        <f>IFERROR(_xlfn.XLOOKUP(Table_Input_InorganicFertiliser_Brands[[#This Row],[Product (select)]],FertiliserProducts[Product],FertiliserProducts[Density]), 1)</f>
        <v>1</v>
      </c>
      <c r="I16" s="201">
        <f>(Table_Input_InorganicFertiliser_Brands[[#This Row],[Amount applied per hectare]]*Table_Input_InorganicFertiliser_Brands[[#This Row],[Density]])*Table_Input_InorganicFertiliser_Brands[[#This Row],[Application area (ha)]]</f>
        <v>0</v>
      </c>
      <c r="J16" s="201"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201"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201"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201"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201"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201"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201"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201"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201"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201"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201"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201"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02" cm="1">
        <f t="array" ref="W16">IFERROR(Fertiliser_InputFunctions.Fertiliser_FertiliserProductLookup(Table_Input_InorganicFertiliser_Brands[[#This Row],[Product (select)]], "N declared", FertiliserProducts[#Data], FertiliserProducts[Product], FertiliserProducts[#Headers])*0.01, 0)</f>
        <v>0</v>
      </c>
      <c r="X16"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201" t="str">
        <f>IFERROR(_xlfn.XLOOKUP(Table_Input_InorganicFertiliser_Brands[[#This Row],[Product (select)]],FertiliserProducts[Product],FertiliserProducts[Urea source]), "")</f>
        <v/>
      </c>
      <c r="Z16" s="201" t="str">
        <f>IFERROR(_xlfn.XLOOKUP(Table_Input_InorganicFertiliser_Brands[[#This Row],[Product (select)]],FertiliserProducts[Product],FertiliserProducts[Ammonia source]), "")</f>
        <v/>
      </c>
    </row>
    <row r="17" spans="1:26" ht="20.100000000000001" customHeight="1" x14ac:dyDescent="0.2">
      <c r="A17" s="5" t="str">
        <f>HYPERLINK("#'Input - Livestock farm Inputs'!A1", "Livestock farm Inputs")</f>
        <v>Livestock farm Inputs</v>
      </c>
      <c r="D17" s="198"/>
      <c r="E17" s="199"/>
      <c r="F17" s="15" t="str">
        <f>IFERROR(_xlfn.XLOOKUP(Table_Input_InorganicFertiliser_Brands[[#This Row],[Product (select)]],FertiliserProducts[Product],FertiliserProducts[Unit]), "kg")</f>
        <v>kg</v>
      </c>
      <c r="G17" s="199">
        <f t="shared" ref="G17" si="5">X_Cell_Fertiliser_AreaUnderCropping</f>
        <v>100</v>
      </c>
      <c r="H17" s="200">
        <f>IFERROR(_xlfn.XLOOKUP(Table_Input_InorganicFertiliser_Brands[[#This Row],[Product (select)]],FertiliserProducts[Product],FertiliserProducts[Density]), 1)</f>
        <v>1</v>
      </c>
      <c r="I17" s="201">
        <f>(Table_Input_InorganicFertiliser_Brands[[#This Row],[Amount applied per hectare]]*Table_Input_InorganicFertiliser_Brands[[#This Row],[Density]])*Table_Input_InorganicFertiliser_Brands[[#This Row],[Application area (ha)]]</f>
        <v>0</v>
      </c>
      <c r="J17" s="201"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201"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201"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201"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201"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201"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201"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201"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201"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201"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201"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201"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02" cm="1">
        <f t="array" ref="W17">IFERROR(Fertiliser_InputFunctions.Fertiliser_FertiliserProductLookup(Table_Input_InorganicFertiliser_Brands[[#This Row],[Product (select)]], "N declared", FertiliserProducts[#Data], FertiliserProducts[Product], FertiliserProducts[#Headers])*0.01, 0)</f>
        <v>0</v>
      </c>
      <c r="X17"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201" t="str">
        <f>IFERROR(_xlfn.XLOOKUP(Table_Input_InorganicFertiliser_Brands[[#This Row],[Product (select)]],FertiliserProducts[Product],FertiliserProducts[Urea source]), "")</f>
        <v/>
      </c>
      <c r="Z17" s="201"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198"/>
      <c r="E18" s="199"/>
      <c r="F18" s="15" t="str">
        <f>IFERROR(_xlfn.XLOOKUP(Table_Input_InorganicFertiliser_Brands[[#This Row],[Product (select)]],FertiliserProducts[Product],FertiliserProducts[Unit]), "kg")</f>
        <v>kg</v>
      </c>
      <c r="G18" s="199">
        <f t="shared" ref="G18" si="6">X_Cell_Fertiliser_AreaUnderCropping</f>
        <v>100</v>
      </c>
      <c r="H18" s="200">
        <f>IFERROR(_xlfn.XLOOKUP(Table_Input_InorganicFertiliser_Brands[[#This Row],[Product (select)]],FertiliserProducts[Product],FertiliserProducts[Density]), 1)</f>
        <v>1</v>
      </c>
      <c r="I18" s="201">
        <f>(Table_Input_InorganicFertiliser_Brands[[#This Row],[Amount applied per hectare]]*Table_Input_InorganicFertiliser_Brands[[#This Row],[Density]])*Table_Input_InorganicFertiliser_Brands[[#This Row],[Application area (ha)]]</f>
        <v>0</v>
      </c>
      <c r="J18" s="201"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201"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201"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201"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201"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201"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201"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201"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201"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201"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201"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201"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02" cm="1">
        <f t="array" ref="W18">IFERROR(Fertiliser_InputFunctions.Fertiliser_FertiliserProductLookup(Table_Input_InorganicFertiliser_Brands[[#This Row],[Product (select)]], "N declared", FertiliserProducts[#Data], FertiliserProducts[Product], FertiliserProducts[#Headers])*0.01, 0)</f>
        <v>0</v>
      </c>
      <c r="X18"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201" t="str">
        <f>IFERROR(_xlfn.XLOOKUP(Table_Input_InorganicFertiliser_Brands[[#This Row],[Product (select)]],FertiliserProducts[Product],FertiliserProducts[Urea source]), "")</f>
        <v/>
      </c>
      <c r="Z18" s="201"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198"/>
      <c r="E19" s="199"/>
      <c r="F19" s="15" t="str">
        <f>IFERROR(_xlfn.XLOOKUP(Table_Input_InorganicFertiliser_Brands[[#This Row],[Product (select)]],FertiliserProducts[Product],FertiliserProducts[Unit]), "kg")</f>
        <v>kg</v>
      </c>
      <c r="G19" s="199">
        <f t="shared" ref="G19" si="7">X_Cell_Fertiliser_AreaUnderCropping</f>
        <v>100</v>
      </c>
      <c r="H19" s="200">
        <f>IFERROR(_xlfn.XLOOKUP(Table_Input_InorganicFertiliser_Brands[[#This Row],[Product (select)]],FertiliserProducts[Product],FertiliserProducts[Density]), 1)</f>
        <v>1</v>
      </c>
      <c r="I19" s="201">
        <f>(Table_Input_InorganicFertiliser_Brands[[#This Row],[Amount applied per hectare]]*Table_Input_InorganicFertiliser_Brands[[#This Row],[Density]])*Table_Input_InorganicFertiliser_Brands[[#This Row],[Application area (ha)]]</f>
        <v>0</v>
      </c>
      <c r="J19" s="201"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201"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201"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201"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201"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201"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201"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201"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201"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201"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201"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201"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02" cm="1">
        <f t="array" ref="W19">IFERROR(Fertiliser_InputFunctions.Fertiliser_FertiliserProductLookup(Table_Input_InorganicFertiliser_Brands[[#This Row],[Product (select)]], "N declared", FertiliserProducts[#Data], FertiliserProducts[Product], FertiliserProducts[#Headers])*0.01, 0)</f>
        <v>0</v>
      </c>
      <c r="X19"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201" t="str">
        <f>IFERROR(_xlfn.XLOOKUP(Table_Input_InorganicFertiliser_Brands[[#This Row],[Product (select)]],FertiliserProducts[Product],FertiliserProducts[Urea source]), "")</f>
        <v/>
      </c>
      <c r="Z19" s="201" t="str">
        <f>IFERROR(_xlfn.XLOOKUP(Table_Input_InorganicFertiliser_Brands[[#This Row],[Product (select)]],FertiliserProducts[Product],FertiliserProducts[Ammonia source]), "")</f>
        <v/>
      </c>
    </row>
    <row r="20" spans="1:26" ht="20.100000000000001" customHeight="1" x14ac:dyDescent="0.2">
      <c r="A20" s="5" t="str">
        <f>HYPERLINK("#'Input - Manure sent off-site'!A1", "Manure sent off-site")</f>
        <v>Manure sent off-site</v>
      </c>
      <c r="D20" s="198"/>
      <c r="E20" s="199"/>
      <c r="F20" s="15" t="str">
        <f>IFERROR(_xlfn.XLOOKUP(Table_Input_InorganicFertiliser_Brands[[#This Row],[Product (select)]],FertiliserProducts[Product],FertiliserProducts[Unit]), "kg")</f>
        <v>kg</v>
      </c>
      <c r="G20" s="199">
        <f t="shared" ref="G20" si="8">X_Cell_Fertiliser_AreaUnderCropping</f>
        <v>100</v>
      </c>
      <c r="H20" s="200">
        <f>IFERROR(_xlfn.XLOOKUP(Table_Input_InorganicFertiliser_Brands[[#This Row],[Product (select)]],FertiliserProducts[Product],FertiliserProducts[Density]), 1)</f>
        <v>1</v>
      </c>
      <c r="I20" s="201">
        <f>(Table_Input_InorganicFertiliser_Brands[[#This Row],[Amount applied per hectare]]*Table_Input_InorganicFertiliser_Brands[[#This Row],[Density]])*Table_Input_InorganicFertiliser_Brands[[#This Row],[Application area (ha)]]</f>
        <v>0</v>
      </c>
      <c r="J20" s="201"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201"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201"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201"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201"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201"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201"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201"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201"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201"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201"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201"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02" cm="1">
        <f t="array" ref="W20">IFERROR(Fertiliser_InputFunctions.Fertiliser_FertiliserProductLookup(Table_Input_InorganicFertiliser_Brands[[#This Row],[Product (select)]], "N declared", FertiliserProducts[#Data], FertiliserProducts[Product], FertiliserProducts[#Headers])*0.01, 0)</f>
        <v>0</v>
      </c>
      <c r="X20"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201" t="str">
        <f>IFERROR(_xlfn.XLOOKUP(Table_Input_InorganicFertiliser_Brands[[#This Row],[Product (select)]],FertiliserProducts[Product],FertiliserProducts[Urea source]), "")</f>
        <v/>
      </c>
      <c r="Z20" s="201" t="str">
        <f>IFERROR(_xlfn.XLOOKUP(Table_Input_InorganicFertiliser_Brands[[#This Row],[Product (select)]],FertiliserProducts[Product],FertiliserProducts[Ammonia source]), "")</f>
        <v/>
      </c>
    </row>
    <row r="21" spans="1:26" ht="20.100000000000001" customHeight="1" x14ac:dyDescent="0.2">
      <c r="A21" s="5" t="str">
        <f>HYPERLINK("#'Input - Data quality'!A1", "Data quality")</f>
        <v>Data quality</v>
      </c>
      <c r="D21" s="198"/>
      <c r="E21" s="199"/>
      <c r="F21" s="15" t="str">
        <f>IFERROR(_xlfn.XLOOKUP(Table_Input_InorganicFertiliser_Brands[[#This Row],[Product (select)]],FertiliserProducts[Product],FertiliserProducts[Unit]), "kg")</f>
        <v>kg</v>
      </c>
      <c r="G21" s="199">
        <f t="shared" ref="G21" si="9">X_Cell_Fertiliser_AreaUnderCropping</f>
        <v>100</v>
      </c>
      <c r="H21" s="200">
        <f>IFERROR(_xlfn.XLOOKUP(Table_Input_InorganicFertiliser_Brands[[#This Row],[Product (select)]],FertiliserProducts[Product],FertiliserProducts[Density]), 1)</f>
        <v>1</v>
      </c>
      <c r="I21" s="201">
        <f>(Table_Input_InorganicFertiliser_Brands[[#This Row],[Amount applied per hectare]]*Table_Input_InorganicFertiliser_Brands[[#This Row],[Density]])*Table_Input_InorganicFertiliser_Brands[[#This Row],[Application area (ha)]]</f>
        <v>0</v>
      </c>
      <c r="J21" s="201"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201"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201"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201"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201"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201"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201"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201"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201"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201"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201"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201"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02" cm="1">
        <f t="array" ref="W21">IFERROR(Fertiliser_InputFunctions.Fertiliser_FertiliserProductLookup(Table_Input_InorganicFertiliser_Brands[[#This Row],[Product (select)]], "N declared", FertiliserProducts[#Data], FertiliserProducts[Product], FertiliserProducts[#Headers])*0.01, 0)</f>
        <v>0</v>
      </c>
      <c r="X21"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201" t="str">
        <f>IFERROR(_xlfn.XLOOKUP(Table_Input_InorganicFertiliser_Brands[[#This Row],[Product (select)]],FertiliserProducts[Product],FertiliserProducts[Urea source]), "")</f>
        <v/>
      </c>
      <c r="Z21" s="201" t="str">
        <f>IFERROR(_xlfn.XLOOKUP(Table_Input_InorganicFertiliser_Brands[[#This Row],[Product (select)]],FertiliserProducts[Product],FertiliserProducts[Ammonia source]), "")</f>
        <v/>
      </c>
    </row>
    <row r="22" spans="1:26" ht="20.100000000000001" customHeight="1" x14ac:dyDescent="0.2">
      <c r="A22" s="5" t="str">
        <f>HYPERLINK("#'Input - Fert Prod System'!A1", "Fert Prod System")</f>
        <v>Fert Prod System</v>
      </c>
      <c r="D22" s="203"/>
      <c r="E22" s="204"/>
      <c r="F22" s="205"/>
      <c r="G22" s="205"/>
      <c r="H22" s="205"/>
      <c r="I22" s="205"/>
      <c r="J22" s="206"/>
      <c r="K22" s="206"/>
      <c r="L22" s="207"/>
      <c r="M22" s="207"/>
      <c r="N22" s="142"/>
      <c r="O22" s="142"/>
      <c r="P22" s="142"/>
      <c r="Q22" s="142"/>
      <c r="R22" s="142"/>
      <c r="S22" s="142"/>
      <c r="T22" s="142"/>
      <c r="U22" s="142"/>
      <c r="V22" s="142"/>
      <c r="W22" s="142"/>
      <c r="X22" s="142"/>
    </row>
    <row r="23" spans="1:26" ht="20.100000000000001" customHeight="1" x14ac:dyDescent="0.2">
      <c r="A23" s="100" t="str">
        <f>HYPERLINK("#'Input - Fertiliser'!A1", "Fertiliser")</f>
        <v>Fertiliser</v>
      </c>
      <c r="D23" s="208" t="s">
        <v>717</v>
      </c>
      <c r="E23" s="209"/>
      <c r="F23" s="209"/>
      <c r="G23" s="209"/>
      <c r="H23" s="209"/>
      <c r="I23" s="209"/>
      <c r="J23" s="209"/>
      <c r="K23" s="209"/>
      <c r="L23" s="209"/>
      <c r="M23" s="209"/>
      <c r="N23" s="142"/>
      <c r="O23" s="142"/>
      <c r="P23" s="142"/>
      <c r="Q23" s="142"/>
      <c r="R23" s="142"/>
      <c r="S23" s="142"/>
      <c r="T23" s="142"/>
      <c r="V23" s="142"/>
      <c r="W23" s="142"/>
      <c r="X23" s="142"/>
    </row>
    <row r="24" spans="1:26" ht="20.100000000000001" customHeight="1" x14ac:dyDescent="0.2">
      <c r="D24" s="196" t="s">
        <v>718</v>
      </c>
      <c r="E24" s="196" t="s">
        <v>719</v>
      </c>
      <c r="F24" s="196" t="s">
        <v>694</v>
      </c>
      <c r="G24" s="196" t="s">
        <v>696</v>
      </c>
      <c r="H24" s="196" t="s">
        <v>720</v>
      </c>
      <c r="I24" s="196" t="s">
        <v>698</v>
      </c>
      <c r="J24" s="196" t="s">
        <v>699</v>
      </c>
      <c r="K24" s="196" t="s">
        <v>700</v>
      </c>
      <c r="L24" s="196" t="s">
        <v>701</v>
      </c>
      <c r="M24" s="196" t="s">
        <v>702</v>
      </c>
      <c r="N24" s="196" t="s">
        <v>703</v>
      </c>
      <c r="O24" s="196" t="s">
        <v>704</v>
      </c>
      <c r="P24" s="196" t="s">
        <v>711</v>
      </c>
      <c r="Q24" s="210" t="s">
        <v>721</v>
      </c>
      <c r="R24" s="210" t="s">
        <v>722</v>
      </c>
      <c r="S24" s="142"/>
      <c r="T24" s="142"/>
      <c r="V24" s="142"/>
      <c r="W24" s="142"/>
      <c r="X24" s="142"/>
    </row>
    <row r="25" spans="1:26" ht="20.100000000000001" customHeight="1" x14ac:dyDescent="0.2">
      <c r="D25" s="33" t="s">
        <v>723</v>
      </c>
      <c r="E25" s="196">
        <v>100</v>
      </c>
      <c r="F25" s="199">
        <f t="shared" ref="F25:F34" si="10">X_Cell_Fertiliser_AreaUnderCropping</f>
        <v>100</v>
      </c>
      <c r="G25" s="201">
        <f>Table_Input_InorganicFertiliser_Custom[[#This Row],[Amount applied (kg / ha)]]*Table_Input_InorganicFertiliser_Custom[[#This Row],[Application area (ha)]]</f>
        <v>10000</v>
      </c>
      <c r="H25" s="211" t="s">
        <v>724</v>
      </c>
      <c r="I25" s="212">
        <v>0.5</v>
      </c>
      <c r="J25" s="211" t="s">
        <v>725</v>
      </c>
      <c r="K25" s="212">
        <v>0.2</v>
      </c>
      <c r="L25" s="211" t="s">
        <v>726</v>
      </c>
      <c r="M25" s="212">
        <v>0.2</v>
      </c>
      <c r="N25" s="213" t="s">
        <v>727</v>
      </c>
      <c r="O25" s="18">
        <v>0.1</v>
      </c>
      <c r="P25"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5"/>
      <c r="V25" s="142"/>
    </row>
    <row r="26" spans="1:26" ht="20.100000000000001" customHeight="1" x14ac:dyDescent="0.2">
      <c r="A26" s="6" t="s">
        <v>2</v>
      </c>
      <c r="D26" s="33" t="s">
        <v>728</v>
      </c>
      <c r="E26" s="196">
        <v>100</v>
      </c>
      <c r="F26" s="199">
        <f t="shared" si="10"/>
        <v>100</v>
      </c>
      <c r="G26" s="201">
        <f>Table_Input_InorganicFertiliser_Custom[[#This Row],[Amount applied (kg / ha)]]*Table_Input_InorganicFertiliser_Custom[[#This Row],[Application area (ha)]]</f>
        <v>10000</v>
      </c>
      <c r="H26" s="211" t="s">
        <v>714</v>
      </c>
      <c r="I26" s="214">
        <v>1</v>
      </c>
      <c r="J26" s="211"/>
      <c r="K26" s="214"/>
      <c r="L26" s="211"/>
      <c r="M26" s="214"/>
      <c r="N26" s="213"/>
      <c r="O26" s="18"/>
      <c r="P26"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2"/>
      <c r="W26" s="75"/>
    </row>
    <row r="27" spans="1:26" ht="20.100000000000001" customHeight="1" x14ac:dyDescent="0.2">
      <c r="A27" s="5" t="str">
        <f>HYPERLINK("#'4.6.1.1-2 Methane'!A1", "4.6.1.1-2 Manure Methane")</f>
        <v>4.6.1.1-2 Manure Methane</v>
      </c>
      <c r="D27" s="33" t="s">
        <v>729</v>
      </c>
      <c r="E27" s="196">
        <v>100</v>
      </c>
      <c r="F27" s="199">
        <f t="shared" si="10"/>
        <v>100</v>
      </c>
      <c r="G27" s="201">
        <f>Table_Input_InorganicFertiliser_Custom[[#This Row],[Amount applied (kg / ha)]]*Table_Input_InorganicFertiliser_Custom[[#This Row],[Application area (ha)]]</f>
        <v>10000</v>
      </c>
      <c r="H27" s="211" t="s">
        <v>730</v>
      </c>
      <c r="I27" s="214">
        <v>0.5</v>
      </c>
      <c r="J27" s="211"/>
      <c r="K27" s="214"/>
      <c r="L27" s="211"/>
      <c r="M27" s="214"/>
      <c r="N27" s="213"/>
      <c r="O27" s="18"/>
      <c r="P27"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2"/>
    </row>
    <row r="28" spans="1:26" ht="20.100000000000001" customHeight="1" x14ac:dyDescent="0.2">
      <c r="A28" s="5" t="str">
        <f>HYPERLINK("#'4.6.1.3-4 Direct N20'!A1", "4.6.1.3-4 Manure Direct N2O")</f>
        <v>4.6.1.3-4 Manure Direct N2O</v>
      </c>
      <c r="D28" s="33"/>
      <c r="E28" s="196"/>
      <c r="F28" s="215">
        <f t="shared" si="10"/>
        <v>100</v>
      </c>
      <c r="G28" s="201">
        <f>Table_Input_InorganicFertiliser_Custom[[#This Row],[Amount applied (kg / ha)]]*Table_Input_InorganicFertiliser_Custom[[#This Row],[Application area (ha)]]</f>
        <v>0</v>
      </c>
      <c r="H28" s="211"/>
      <c r="I28" s="214"/>
      <c r="J28" s="211"/>
      <c r="K28" s="214"/>
      <c r="L28" s="211"/>
      <c r="M28" s="214"/>
      <c r="N28" s="213"/>
      <c r="O28" s="18"/>
      <c r="P28"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5"/>
    </row>
    <row r="29" spans="1:26" ht="20.100000000000001" customHeight="1" x14ac:dyDescent="0.2">
      <c r="A29" s="5" t="str">
        <f>HYPERLINK("#'4.6.1.5-6 Atmos Dep'!A1", "4.6.1.5-6 Manure Atmos Dep")</f>
        <v>4.6.1.5-6 Manure Atmos Dep</v>
      </c>
      <c r="D29" s="33"/>
      <c r="E29" s="196"/>
      <c r="F29" s="215">
        <f t="shared" si="10"/>
        <v>100</v>
      </c>
      <c r="G29" s="201">
        <f>Table_Input_InorganicFertiliser_Custom[[#This Row],[Amount applied (kg / ha)]]*Table_Input_InorganicFertiliser_Custom[[#This Row],[Application area (ha)]]</f>
        <v>0</v>
      </c>
      <c r="H29" s="211"/>
      <c r="I29" s="214"/>
      <c r="J29" s="211"/>
      <c r="K29" s="214"/>
      <c r="L29" s="211"/>
      <c r="M29" s="214"/>
      <c r="N29" s="213"/>
      <c r="O29" s="18"/>
      <c r="P29"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HYPERLINK("#'4.6.1.7-8 Leaching and runoff'!A1", "4.6.1.7-8 Manure Leaching and runoff")</f>
        <v>4.6.1.7-8 Manure Leaching and runoff</v>
      </c>
      <c r="D30" s="33"/>
      <c r="E30" s="196"/>
      <c r="F30" s="215">
        <f t="shared" si="10"/>
        <v>100</v>
      </c>
      <c r="G30" s="201">
        <f>Table_Input_InorganicFertiliser_Custom[[#This Row],[Amount applied (kg / ha)]]*Table_Input_InorganicFertiliser_Custom[[#This Row],[Application area (ha)]]</f>
        <v>0</v>
      </c>
      <c r="H30" s="211"/>
      <c r="I30" s="214"/>
      <c r="J30" s="211"/>
      <c r="K30" s="214"/>
      <c r="L30" s="211"/>
      <c r="M30" s="214"/>
      <c r="N30" s="213"/>
      <c r="O30" s="18"/>
      <c r="P30"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HYPERLINK("#'4.6.1.9 Manure applied to soils'!A1", "4.6.1.9 Manure applied to soils")</f>
        <v>4.6.1.9 Manure applied to soils</v>
      </c>
      <c r="D31" s="33"/>
      <c r="E31" s="196"/>
      <c r="F31" s="215">
        <f t="shared" si="10"/>
        <v>100</v>
      </c>
      <c r="G31" s="201">
        <f>Table_Input_InorganicFertiliser_Custom[[#This Row],[Amount applied (kg / ha)]]*Table_Input_InorganicFertiliser_Custom[[#This Row],[Application area (ha)]]</f>
        <v>0</v>
      </c>
      <c r="H31" s="211"/>
      <c r="I31" s="214"/>
      <c r="J31" s="211"/>
      <c r="K31" s="214"/>
      <c r="L31" s="211"/>
      <c r="M31" s="214"/>
      <c r="N31" s="213"/>
      <c r="O31" s="18"/>
      <c r="P31"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HYPERLINK("#'4.6.1.10-11 Soil direct N2O'!A1", "4.6.1.10-11 Soil direct N2O")</f>
        <v>4.6.1.10-11 Soil direct N2O</v>
      </c>
      <c r="D32" s="33"/>
      <c r="E32" s="196"/>
      <c r="F32" s="215">
        <f t="shared" si="10"/>
        <v>100</v>
      </c>
      <c r="G32" s="201">
        <f>Table_Input_InorganicFertiliser_Custom[[#This Row],[Amount applied (kg / ha)]]*Table_Input_InorganicFertiliser_Custom[[#This Row],[Application area (ha)]]</f>
        <v>0</v>
      </c>
      <c r="H32" s="211"/>
      <c r="I32" s="214"/>
      <c r="J32" s="211"/>
      <c r="K32" s="214"/>
      <c r="L32" s="211"/>
      <c r="M32" s="214"/>
      <c r="N32" s="213"/>
      <c r="O32" s="18"/>
      <c r="P32"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HYPERLINK("#'4.6.1.12-13 Soil atmos dep'!A1", "4.6.1.12-13 Soil atmos dep")</f>
        <v>4.6.1.12-13 Soil atmos dep</v>
      </c>
      <c r="D33" s="33"/>
      <c r="E33" s="196"/>
      <c r="F33" s="215">
        <f t="shared" si="10"/>
        <v>100</v>
      </c>
      <c r="G33" s="201">
        <f>Table_Input_InorganicFertiliser_Custom[[#This Row],[Amount applied (kg / ha)]]*Table_Input_InorganicFertiliser_Custom[[#This Row],[Application area (ha)]]</f>
        <v>0</v>
      </c>
      <c r="H33" s="211"/>
      <c r="I33" s="214"/>
      <c r="J33" s="211"/>
      <c r="K33" s="214"/>
      <c r="L33" s="211"/>
      <c r="M33" s="214"/>
      <c r="N33" s="213"/>
      <c r="O33" s="18"/>
      <c r="P33"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HYPERLINK("#'4.6.1.14-15 Soil leach runoff'!A1", "4.6.1.14-15 Soil leach runoff")</f>
        <v>4.6.1.14-15 Soil leach runoff</v>
      </c>
      <c r="D34" s="33"/>
      <c r="E34" s="196"/>
      <c r="F34" s="215">
        <f t="shared" si="10"/>
        <v>100</v>
      </c>
      <c r="G34" s="201">
        <f>Table_Input_InorganicFertiliser_Custom[[#This Row],[Amount applied (kg / ha)]]*Table_Input_InorganicFertiliser_Custom[[#This Row],[Application area (ha)]]</f>
        <v>0</v>
      </c>
      <c r="H34" s="211"/>
      <c r="I34" s="214"/>
      <c r="J34" s="211"/>
      <c r="K34" s="214"/>
      <c r="L34" s="211"/>
      <c r="M34" s="214"/>
      <c r="N34" s="213"/>
      <c r="O34" s="18"/>
      <c r="P34"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HYPERLINK("#'8.1.1.1-2 Transport fuel'!A1", "8.1.1.1-2 Transport fuel")</f>
        <v>8.1.1.1-2 Transport fuel</v>
      </c>
    </row>
    <row r="36" spans="1:27" ht="20.100000000000001" customHeight="1" x14ac:dyDescent="0.2">
      <c r="A36" s="5" t="str">
        <f>HYPERLINK("#'8.2.1.1-2 Stationary fuel'!A1", "8.2.1.1-2 Stationary fuel")</f>
        <v>8.2.1.1-2 Stationary fuel</v>
      </c>
      <c r="D36" s="2" t="s">
        <v>731</v>
      </c>
      <c r="E36" s="24"/>
      <c r="F36" s="24"/>
      <c r="G36" s="24"/>
      <c r="H36" s="24"/>
      <c r="I36" s="24"/>
      <c r="J36" s="24"/>
      <c r="K36" s="8"/>
      <c r="L36" s="8"/>
      <c r="M36" s="8"/>
    </row>
    <row r="37" spans="1:27" ht="20.100000000000001" customHeight="1" x14ac:dyDescent="0.2">
      <c r="A37" s="5" t="str">
        <f>HYPERLINK("#'10.1.1-2 Solid waste treatment'!A1", "10.1.1.1-2 Solid waste")</f>
        <v>10.1.1.1-2 Solid waste</v>
      </c>
      <c r="D37" s="131" t="s">
        <v>732</v>
      </c>
      <c r="E37" s="43"/>
      <c r="F37" s="44"/>
      <c r="G37" s="131"/>
      <c r="H37" s="44"/>
      <c r="I37" s="24"/>
      <c r="J37" s="24"/>
      <c r="K37" s="8"/>
      <c r="L37" s="8"/>
      <c r="M37" s="24"/>
    </row>
    <row r="38" spans="1:27" ht="20.100000000000001" customHeight="1" x14ac:dyDescent="0.2">
      <c r="A38" s="5" t="str">
        <f>HYPERLINK("#'14.1.1-2 Purchased electricity'!A1", "14.1.1-2 Purchased electricity")</f>
        <v>14.1.1-2 Purchased electricity</v>
      </c>
      <c r="C38" s="142"/>
      <c r="D38" s="132" t="s">
        <v>733</v>
      </c>
      <c r="E38" s="133"/>
      <c r="F38" s="134"/>
      <c r="G38" s="132"/>
      <c r="H38" s="134"/>
      <c r="I38" s="8"/>
      <c r="J38" s="8"/>
      <c r="K38" s="8"/>
      <c r="L38" s="8"/>
      <c r="M38" s="8"/>
    </row>
    <row r="39" spans="1:27" ht="20.100000000000001" customHeight="1" x14ac:dyDescent="0.2">
      <c r="A39" s="5" t="str">
        <f>HYPERLINK("#'15 Scope 3'!A1", "15 Scope 3")</f>
        <v>15 Scope 3</v>
      </c>
      <c r="C39" s="142"/>
      <c r="D39" s="45" t="s">
        <v>689</v>
      </c>
      <c r="E39" s="46"/>
      <c r="F39" s="46"/>
      <c r="G39" s="46"/>
      <c r="H39" s="47"/>
      <c r="I39" s="8"/>
      <c r="J39" s="8"/>
      <c r="K39" s="8"/>
      <c r="L39" s="8"/>
      <c r="M39" s="24"/>
    </row>
    <row r="40" spans="1:27" s="140" customFormat="1" ht="20.100000000000001" customHeight="1" x14ac:dyDescent="0.2">
      <c r="A40" s="5" t="str">
        <f>HYPERLINK("#'Calcs - Manure sent off-site'!A1", "Calcs - Manure sent off-site")</f>
        <v>Calcs - Manure sent off-site</v>
      </c>
      <c r="C40" s="1"/>
      <c r="D40" s="87"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40" customFormat="1" ht="20.100000000000001" customHeight="1" x14ac:dyDescent="0.2">
      <c r="A41" s="5" t="str">
        <f>HYPERLINK("#'5.1.1.1-2 Inorganic fert N2O'!A1", "5.1.1.1-2 Inorganic fert N2O")</f>
        <v>5.1.1.1-2 Inorganic fert N2O</v>
      </c>
      <c r="C41" s="1"/>
      <c r="D41" s="216" t="s">
        <v>132</v>
      </c>
      <c r="E41" s="216" t="s">
        <v>734</v>
      </c>
      <c r="F41" s="216" t="s">
        <v>694</v>
      </c>
      <c r="G41" s="216" t="s">
        <v>735</v>
      </c>
      <c r="H41" s="216" t="s">
        <v>736</v>
      </c>
      <c r="I41" s="216" t="s">
        <v>737</v>
      </c>
      <c r="J41" s="216" t="s">
        <v>738</v>
      </c>
      <c r="K41" s="216" t="s">
        <v>4</v>
      </c>
      <c r="L41" s="1"/>
      <c r="M41" s="1"/>
      <c r="N41" s="1"/>
      <c r="O41" s="1"/>
      <c r="P41" s="1"/>
      <c r="Q41" s="1"/>
      <c r="R41" s="1"/>
      <c r="S41" s="142"/>
      <c r="T41" s="1"/>
      <c r="U41" s="1"/>
      <c r="V41" s="1"/>
      <c r="W41" s="1"/>
      <c r="X41" s="1"/>
      <c r="Y41" s="1"/>
      <c r="Z41" s="1"/>
      <c r="AA41" s="1"/>
    </row>
    <row r="42" spans="1:27" ht="20.100000000000001" customHeight="1" x14ac:dyDescent="0.2">
      <c r="A42" s="5" t="str">
        <f>HYPERLINK("#'5.1.1.3-4 Inorganic fert CO2'!A1", "5.1.1.3-4 Inorganic fert CO2")</f>
        <v>5.1.1.3-4 Inorganic fert CO2</v>
      </c>
      <c r="D42" s="217" t="s">
        <v>739</v>
      </c>
      <c r="E42" s="199">
        <v>1</v>
      </c>
      <c r="F42" s="199">
        <f>X_Cell_Fertiliser_AreaUnderCropping</f>
        <v>100</v>
      </c>
      <c r="G42" s="201">
        <f>IFERROR(Table_Input_Lime[[#This Row],[Amount applied (t/hectare)]]*Table_Input_Lime[[#This Row],[Application area (ha)]], 0)</f>
        <v>100</v>
      </c>
      <c r="H42" s="218">
        <v>0.8</v>
      </c>
      <c r="I42" s="218">
        <v>0.1</v>
      </c>
      <c r="J42" s="218">
        <v>0.1</v>
      </c>
      <c r="K42" s="219">
        <f>SUM(Table_Input_Lime[[#This Row],[Percent Lime CaCO3]:[Percent Gypsum]])</f>
        <v>1</v>
      </c>
      <c r="S42" s="142"/>
    </row>
    <row r="43" spans="1:27" ht="20.100000000000001" customHeight="1" x14ac:dyDescent="0.2">
      <c r="A43" s="5" t="str">
        <f>HYPERLINK("#'5.2.1.1-2 Organic Fert N2O'!A1", "5.2.1.1-2 Organic Fert N2O")</f>
        <v>5.2.1.1-2 Organic Fert N2O</v>
      </c>
      <c r="D43" s="217" t="s">
        <v>740</v>
      </c>
      <c r="E43" s="199">
        <v>1</v>
      </c>
      <c r="F43" s="199">
        <f>X_Cell_Fertiliser_AreaUnderCropping</f>
        <v>100</v>
      </c>
      <c r="G43" s="201">
        <f>IFERROR(Table_Input_Lime[[#This Row],[Amount applied (t/hectare)]]*Table_Input_Lime[[#This Row],[Application area (ha)]], 0)</f>
        <v>100</v>
      </c>
      <c r="H43" s="218">
        <v>1</v>
      </c>
      <c r="I43" s="218"/>
      <c r="J43" s="218"/>
      <c r="K43" s="219">
        <f>SUM(Table_Input_Lime[[#This Row],[Percent Lime CaCO3]:[Percent Gypsum]])</f>
        <v>1</v>
      </c>
    </row>
    <row r="44" spans="1:27" ht="20.100000000000001" customHeight="1" x14ac:dyDescent="0.2">
      <c r="A44" s="5" t="str">
        <f>HYPERLINK("#'5.3.1.1-2 Lime CO2'!A1", "5.3.1.1-2 Lime CO2")</f>
        <v>5.3.1.1-2 Lime CO2</v>
      </c>
      <c r="D44" s="217" t="s">
        <v>741</v>
      </c>
      <c r="E44" s="199">
        <v>1</v>
      </c>
      <c r="F44" s="199">
        <f>X_Cell_Fertiliser_AreaUnderCropping</f>
        <v>100</v>
      </c>
      <c r="G44" s="201">
        <f>IFERROR(Table_Input_Lime[[#This Row],[Amount applied (t/hectare)]]*Table_Input_Lime[[#This Row],[Application area (ha)]], 0)</f>
        <v>100</v>
      </c>
      <c r="H44" s="218">
        <v>0</v>
      </c>
      <c r="I44" s="218"/>
      <c r="J44" s="218">
        <v>1</v>
      </c>
      <c r="K44" s="219">
        <f>SUM(Table_Input_Lime[[#This Row],[Percent Lime CaCO3]:[Percent Gypsum]])</f>
        <v>1</v>
      </c>
      <c r="L44" s="24"/>
    </row>
    <row r="45" spans="1:27" ht="20.100000000000001" customHeight="1" x14ac:dyDescent="0.2">
      <c r="A45" s="5" t="str">
        <f>HYPERLINK("#'5.4.1.1-4 Atmos deposition'!A1", "5.4.1.1-4 Atmos deposition")</f>
        <v>5.4.1.1-4 Atmos deposition</v>
      </c>
      <c r="L45" s="24"/>
      <c r="M45" s="24"/>
    </row>
    <row r="46" spans="1:27" ht="20.100000000000001" customHeight="1" x14ac:dyDescent="0.2">
      <c r="A46" s="5" t="str">
        <f>HYPERLINK("#'5.5.1.1-2 Leaching and runoff'!A1", "5.5.1.1-2 Leaching and runoff")</f>
        <v>5.5.1.1-2 Leaching and runoff</v>
      </c>
      <c r="D46" s="8"/>
      <c r="E46" s="8"/>
      <c r="F46" s="8"/>
      <c r="G46" s="8"/>
      <c r="H46" s="8"/>
      <c r="I46" s="8"/>
      <c r="J46" s="8"/>
      <c r="L46" s="8"/>
      <c r="M46" s="24"/>
    </row>
    <row r="47" spans="1:27" ht="20.100000000000001" customHeight="1" x14ac:dyDescent="0.2">
      <c r="D47" s="8"/>
      <c r="E47" s="8"/>
      <c r="F47" s="8"/>
      <c r="G47" s="8"/>
      <c r="H47" s="8"/>
      <c r="I47" s="8"/>
      <c r="J47" s="220"/>
      <c r="K47" s="24"/>
      <c r="L47" s="8"/>
      <c r="M47" s="8"/>
    </row>
    <row r="48" spans="1:27" ht="20.100000000000001" customHeight="1" x14ac:dyDescent="0.2">
      <c r="D48" s="2" t="s">
        <v>742</v>
      </c>
      <c r="E48" s="24"/>
      <c r="F48" s="24"/>
      <c r="G48" s="24"/>
      <c r="H48" s="8"/>
      <c r="I48" s="8"/>
      <c r="J48" s="8"/>
      <c r="K48" s="8"/>
      <c r="L48" s="8"/>
      <c r="M48" s="8"/>
    </row>
    <row r="49" spans="1:18" ht="20.100000000000001" customHeight="1" x14ac:dyDescent="0.2">
      <c r="A49" s="80" t="s">
        <v>1</v>
      </c>
      <c r="D49" s="8"/>
      <c r="E49" s="8"/>
      <c r="F49" s="8"/>
      <c r="G49" s="8"/>
      <c r="H49" s="8"/>
      <c r="I49" s="8"/>
      <c r="J49" s="8"/>
      <c r="K49" s="8"/>
      <c r="L49" s="8"/>
      <c r="M49" s="8"/>
      <c r="Q49" s="142"/>
      <c r="R49" s="142"/>
    </row>
    <row r="50" spans="1:18" ht="20.100000000000001" customHeight="1" x14ac:dyDescent="0.2">
      <c r="A50" s="5" t="str">
        <f>HYPERLINK("#'Constants - Poultry'!A1", "Constants - Poultry")</f>
        <v>Constants - Poultry</v>
      </c>
      <c r="D50" s="131" t="s">
        <v>732</v>
      </c>
      <c r="E50" s="43"/>
      <c r="F50" s="43"/>
      <c r="G50" s="43"/>
      <c r="H50" s="44"/>
      <c r="I50" s="8"/>
      <c r="J50" s="8"/>
      <c r="K50" s="8"/>
      <c r="L50" s="8"/>
      <c r="M50" s="8"/>
      <c r="O50" s="142"/>
      <c r="P50" s="142"/>
      <c r="Q50" s="142"/>
      <c r="R50" s="142"/>
    </row>
    <row r="51" spans="1:18" ht="20.100000000000001" customHeight="1" x14ac:dyDescent="0.2">
      <c r="A51" s="5" t="str">
        <f>HYPERLINK("#'Constants - Common livestock'!A1", "Constants - Common Livestock")</f>
        <v>Constants - Common Livestock</v>
      </c>
      <c r="D51" s="45" t="s">
        <v>689</v>
      </c>
      <c r="E51" s="46"/>
      <c r="F51" s="46"/>
      <c r="G51" s="46"/>
      <c r="H51" s="47"/>
      <c r="I51" s="8"/>
      <c r="J51" s="8"/>
      <c r="K51" s="8"/>
      <c r="L51" s="209"/>
      <c r="M51" s="142"/>
      <c r="N51" s="142"/>
      <c r="O51" s="142"/>
      <c r="P51" s="142"/>
    </row>
    <row r="52" spans="1:18" ht="20.100000000000001" customHeight="1" x14ac:dyDescent="0.2">
      <c r="A52" s="5" t="str">
        <f>HYPERLINK("#'Constants - Electricity'!A1", "Constants - Electricity")</f>
        <v>Constants - Electricity</v>
      </c>
      <c r="D52" s="8"/>
      <c r="E52" s="8"/>
      <c r="F52" s="8"/>
      <c r="G52" s="8"/>
      <c r="H52" s="8"/>
      <c r="I52" s="8"/>
      <c r="J52" s="8"/>
      <c r="K52" s="8"/>
      <c r="L52" s="209"/>
      <c r="M52" s="142"/>
      <c r="N52" s="142"/>
    </row>
    <row r="53" spans="1:18" ht="20.100000000000001" customHeight="1" x14ac:dyDescent="0.2">
      <c r="A53" s="5" t="str">
        <f>HYPERLINK("#'Constants - Fertiliser'!A1", "Constants - Fertiliser")</f>
        <v>Constants - Fertiliser</v>
      </c>
      <c r="D53" s="216" t="s">
        <v>743</v>
      </c>
      <c r="E53" s="216" t="s">
        <v>744</v>
      </c>
      <c r="F53" s="216" t="s">
        <v>745</v>
      </c>
      <c r="G53" s="216" t="s">
        <v>746</v>
      </c>
      <c r="H53" s="216" t="s">
        <v>694</v>
      </c>
      <c r="I53" s="216" t="s">
        <v>747</v>
      </c>
      <c r="J53" s="216" t="s">
        <v>748</v>
      </c>
      <c r="K53" s="209"/>
    </row>
    <row r="54" spans="1:18" ht="20.100000000000001" customHeight="1" x14ac:dyDescent="0.2">
      <c r="A54" s="5" t="str">
        <f>HYPERLINK("#'Constants - Fuel'!A1", "Constants - Fuel")</f>
        <v>Constants - Fuel</v>
      </c>
      <c r="D54" s="198" t="s">
        <v>749</v>
      </c>
      <c r="E54" s="218">
        <v>0.3</v>
      </c>
      <c r="F54" s="199">
        <v>10</v>
      </c>
      <c r="G54" s="201">
        <f>Table_Input_OrganicFertiliser[[#This Row],[Amount applied (kg/hectare)]]*Table_Input_OrganicFertiliser[[#This Row],[Percentage of N in fertiliser]]</f>
        <v>3</v>
      </c>
      <c r="H54" s="199">
        <f>X_Cell_Fertiliser_AreaUnderCropping</f>
        <v>100</v>
      </c>
      <c r="I54" s="201">
        <f>Table_Input_OrganicFertiliser[[#This Row],[Amount applied (kg/hectare)]]*Table_Input_OrganicFertiliser[[#This Row],[Application area (ha)]]</f>
        <v>1000</v>
      </c>
      <c r="J54" s="201">
        <f>IFERROR(Table_Input_OrganicFertiliser[[#This Row],[Amount N applied (kg/hectare)]]*Table_Input_OrganicFertiliser[[#This Row],[Application area (ha)]], 0)</f>
        <v>300</v>
      </c>
      <c r="K54" s="209"/>
    </row>
    <row r="55" spans="1:18" ht="20.100000000000001" customHeight="1" x14ac:dyDescent="0.2">
      <c r="A55" s="5" t="str">
        <f>HYPERLINK("#'Constants - Scope 3'!A1", "Constants - Scope 3")</f>
        <v>Constants - Scope 3</v>
      </c>
      <c r="D55" s="198" t="s">
        <v>750</v>
      </c>
      <c r="E55" s="218">
        <v>0.25</v>
      </c>
      <c r="F55" s="199">
        <v>10</v>
      </c>
      <c r="G55" s="201">
        <f>Table_Input_OrganicFertiliser[[#This Row],[Amount applied (kg/hectare)]]*Table_Input_OrganicFertiliser[[#This Row],[Percentage of N in fertiliser]]</f>
        <v>2.5</v>
      </c>
      <c r="H55" s="199">
        <f>X_Cell_Fertiliser_AreaUnderCropping</f>
        <v>100</v>
      </c>
      <c r="I55" s="201">
        <f>Table_Input_OrganicFertiliser[[#This Row],[Amount applied (kg/hectare)]]*Table_Input_OrganicFertiliser[[#This Row],[Application area (ha)]]</f>
        <v>1000</v>
      </c>
      <c r="J55" s="201">
        <f>IFERROR(Table_Input_OrganicFertiliser[[#This Row],[Amount N applied (kg/hectare)]]*Table_Input_OrganicFertiliser[[#This Row],[Application area (ha)]], 0)</f>
        <v>250</v>
      </c>
    </row>
    <row r="56" spans="1:18" ht="20.100000000000001" customHeight="1" x14ac:dyDescent="0.2">
      <c r="A56" s="5" t="str">
        <f>HYPERLINK("#'Constants - Solid Waste'!A1", "Constants - Solid Waste")</f>
        <v>Constants - Solid Waste</v>
      </c>
      <c r="D56" s="198" t="s">
        <v>751</v>
      </c>
      <c r="E56" s="218">
        <v>0.16</v>
      </c>
      <c r="F56" s="199">
        <v>10</v>
      </c>
      <c r="G56" s="201">
        <f>Table_Input_OrganicFertiliser[[#This Row],[Amount applied (kg/hectare)]]*Table_Input_OrganicFertiliser[[#This Row],[Percentage of N in fertiliser]]</f>
        <v>1.6</v>
      </c>
      <c r="H56" s="199">
        <f>X_Cell_Fertiliser_AreaUnderCropping</f>
        <v>100</v>
      </c>
      <c r="I56" s="201">
        <f>Table_Input_OrganicFertiliser[[#This Row],[Amount applied (kg/hectare)]]*Table_Input_OrganicFertiliser[[#This Row],[Application area (ha)]]</f>
        <v>1000</v>
      </c>
      <c r="J56" s="201">
        <f>IFERROR(Table_Input_OrganicFertiliser[[#This Row],[Amount N applied (kg/hectare)]]*Table_Input_OrganicFertiliser[[#This Row],[Application area (ha)]], 0)</f>
        <v>160</v>
      </c>
    </row>
    <row r="57" spans="1:18" ht="20.100000000000001" customHeight="1" x14ac:dyDescent="0.2">
      <c r="A57" s="5" t="str">
        <f>HYPERLINK("#'Constants - Common'!A1", "Constants - Common")</f>
        <v>Constants - Common</v>
      </c>
    </row>
    <row r="126" spans="13:13" ht="20.100000000000001" customHeight="1" x14ac:dyDescent="0.2">
      <c r="M126" s="24"/>
    </row>
    <row r="127" spans="13:13" ht="20.100000000000001" customHeight="1" x14ac:dyDescent="0.2">
      <c r="M127" s="24"/>
    </row>
    <row r="128" spans="13:13" ht="20.100000000000001" customHeight="1" x14ac:dyDescent="0.2">
      <c r="M128" s="24"/>
    </row>
    <row r="129" spans="13:13" ht="20.100000000000001" customHeight="1" x14ac:dyDescent="0.2">
      <c r="M129" s="24"/>
    </row>
    <row r="130" spans="13:13" ht="20.100000000000001" customHeight="1" x14ac:dyDescent="0.2">
      <c r="M130" s="24"/>
    </row>
    <row r="131" spans="13:13" ht="20.100000000000001" customHeight="1" x14ac:dyDescent="0.2">
      <c r="M131" s="24"/>
    </row>
    <row r="132" spans="13:13" ht="20.100000000000001" customHeight="1" x14ac:dyDescent="0.2">
      <c r="M132" s="24"/>
    </row>
    <row r="133" spans="13:13" ht="20.100000000000001" customHeight="1" x14ac:dyDescent="0.2">
      <c r="M133" s="24"/>
    </row>
    <row r="134" spans="13:13" ht="20.100000000000001" customHeight="1" x14ac:dyDescent="0.2">
      <c r="M134" s="24"/>
    </row>
    <row r="135" spans="13:13" ht="20.100000000000001" customHeight="1" x14ac:dyDescent="0.2">
      <c r="M135" s="24"/>
    </row>
    <row r="136" spans="13:13" ht="20.100000000000001" customHeight="1" x14ac:dyDescent="0.2">
      <c r="M136" s="24"/>
    </row>
    <row r="137" spans="13:13" ht="20.100000000000001" customHeight="1" x14ac:dyDescent="0.2">
      <c r="M137" s="24"/>
    </row>
    <row r="138" spans="13:13" ht="20.100000000000001" customHeight="1" x14ac:dyDescent="0.2">
      <c r="M138" s="24"/>
    </row>
    <row r="139" spans="13:13" ht="20.100000000000001" customHeight="1" x14ac:dyDescent="0.2">
      <c r="M139" s="24"/>
    </row>
    <row r="140" spans="13:13" ht="20.100000000000001" customHeight="1" x14ac:dyDescent="0.2">
      <c r="M140" s="24"/>
    </row>
    <row r="141" spans="13:13" ht="20.100000000000001" customHeight="1" x14ac:dyDescent="0.2">
      <c r="M141" s="24"/>
    </row>
    <row r="142" spans="13:13" ht="20.100000000000001" customHeight="1" x14ac:dyDescent="0.2">
      <c r="M142" s="24"/>
    </row>
    <row r="143" spans="13:13" ht="20.100000000000001" customHeight="1" x14ac:dyDescent="0.2">
      <c r="M143" s="24"/>
    </row>
    <row r="144" spans="13:13" ht="20.100000000000001" customHeight="1" x14ac:dyDescent="0.2">
      <c r="M144" s="24"/>
    </row>
    <row r="145" spans="13:13" ht="20.100000000000001" customHeight="1" x14ac:dyDescent="0.2">
      <c r="M145" s="24"/>
    </row>
    <row r="146" spans="13:13" ht="20.100000000000001" customHeight="1" x14ac:dyDescent="0.2">
      <c r="M146" s="24"/>
    </row>
    <row r="147" spans="13:13" ht="20.100000000000001" customHeight="1" x14ac:dyDescent="0.2">
      <c r="M147" s="24"/>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7"/>
    </row>
  </sheetData>
  <conditionalFormatting sqref="F155:F156">
    <cfRule type="cellIs" dxfId="26" priority="15" operator="lessThan">
      <formula>0</formula>
    </cfRule>
  </conditionalFormatting>
  <conditionalFormatting sqref="F167:F168">
    <cfRule type="cellIs" dxfId="25" priority="14" operator="lessThan">
      <formula>0</formula>
    </cfRule>
  </conditionalFormatting>
  <conditionalFormatting sqref="F179:F180">
    <cfRule type="cellIs" dxfId="24" priority="13" operator="lessThan">
      <formula>0</formula>
    </cfRule>
  </conditionalFormatting>
  <conditionalFormatting sqref="F267:F268">
    <cfRule type="cellIs" dxfId="23" priority="26" operator="lessThan">
      <formula>0</formula>
    </cfRule>
  </conditionalFormatting>
  <conditionalFormatting sqref="F272:F273">
    <cfRule type="cellIs" dxfId="22" priority="25" operator="lessThan">
      <formula>0</formula>
    </cfRule>
  </conditionalFormatting>
  <conditionalFormatting sqref="F277:F278">
    <cfRule type="cellIs" dxfId="21" priority="24" operator="lessThan">
      <formula>0</formula>
    </cfRule>
  </conditionalFormatting>
  <conditionalFormatting sqref="F301:F302">
    <cfRule type="cellIs" dxfId="20" priority="23" operator="lessThan">
      <formula>0</formula>
    </cfRule>
  </conditionalFormatting>
  <conditionalFormatting sqref="F306:F307">
    <cfRule type="cellIs" dxfId="19" priority="22" operator="lessThan">
      <formula>0</formula>
    </cfRule>
  </conditionalFormatting>
  <conditionalFormatting sqref="F311:F312">
    <cfRule type="cellIs" dxfId="18" priority="21" operator="lessThan">
      <formula>0</formula>
    </cfRule>
  </conditionalFormatting>
  <conditionalFormatting sqref="H53 F143:F144">
    <cfRule type="cellIs" dxfId="17"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6" priority="20" operator="lessThan">
      <formula>0</formula>
    </cfRule>
  </conditionalFormatting>
  <conditionalFormatting sqref="I41:I44 I46:I47 F58 I75:I78 L198 K200 L202:L203 K204:K205 L206:L207 K208:K209 L212:L213 K214:K215 L216:L217 K218:K219 L223:L228 K225">
    <cfRule type="cellIs" dxfId="15" priority="18" operator="lessThan">
      <formula>0</formula>
    </cfRule>
  </conditionalFormatting>
  <conditionalFormatting sqref="I82 M119 I141:J141">
    <cfRule type="cellIs" dxfId="14" priority="19" operator="lessThan">
      <formula>0</formula>
    </cfRule>
  </conditionalFormatting>
  <conditionalFormatting sqref="I93:I95">
    <cfRule type="cellIs" dxfId="13" priority="3" operator="lessThan">
      <formula>0</formula>
    </cfRule>
  </conditionalFormatting>
  <conditionalFormatting sqref="I99:I102">
    <cfRule type="cellIs" dxfId="12" priority="2" operator="lessThan">
      <formula>0</formula>
    </cfRule>
  </conditionalFormatting>
  <conditionalFormatting sqref="I106:I110">
    <cfRule type="cellIs" dxfId="11" priority="1" operator="lessThan">
      <formula>0</formula>
    </cfRule>
  </conditionalFormatting>
  <conditionalFormatting sqref="J169">
    <cfRule type="cellIs" dxfId="10" priority="17" operator="lessThan">
      <formula>0</formula>
    </cfRule>
  </conditionalFormatting>
  <conditionalFormatting sqref="L131:L134">
    <cfRule type="cellIs" dxfId="9" priority="7" operator="lessThan">
      <formula>0</formula>
    </cfRule>
  </conditionalFormatting>
  <conditionalFormatting sqref="L137">
    <cfRule type="cellIs" dxfId="8" priority="12" operator="lessThan">
      <formula>0</formula>
    </cfRule>
  </conditionalFormatting>
  <conditionalFormatting sqref="L143:L146">
    <cfRule type="cellIs" dxfId="7" priority="6" operator="lessThan">
      <formula>0</formula>
    </cfRule>
  </conditionalFormatting>
  <conditionalFormatting sqref="L149">
    <cfRule type="cellIs" dxfId="6" priority="11" operator="lessThan">
      <formula>0</formula>
    </cfRule>
  </conditionalFormatting>
  <conditionalFormatting sqref="L155:L158">
    <cfRule type="cellIs" dxfId="5" priority="5" operator="lessThan">
      <formula>0</formula>
    </cfRule>
  </conditionalFormatting>
  <conditionalFormatting sqref="L161">
    <cfRule type="cellIs" dxfId="4" priority="10" operator="lessThan">
      <formula>0</formula>
    </cfRule>
  </conditionalFormatting>
  <conditionalFormatting sqref="L167:L170">
    <cfRule type="cellIs" dxfId="3" priority="4" operator="lessThan">
      <formula>0</formula>
    </cfRule>
  </conditionalFormatting>
  <conditionalFormatting sqref="L173">
    <cfRule type="cellIs" dxfId="2" priority="9" operator="lessThan">
      <formula>0</formula>
    </cfRule>
  </conditionalFormatting>
  <conditionalFormatting sqref="L177:L178">
    <cfRule type="cellIs" dxfId="1" priority="8" operator="lessThan">
      <formula>0</formula>
    </cfRule>
  </conditionalFormatting>
  <conditionalFormatting sqref="L230 L232:L235 L237 J245:J247 J250:J252">
    <cfRule type="cellIs" dxfId="0" priority="27" operator="lessThan">
      <formula>0</formula>
    </cfRule>
  </conditionalFormatting>
  <dataValidations count="9">
    <dataValidation type="list" allowBlank="1" showInputMessage="1" showErrorMessage="1" sqref="D12:D21" xr:uid="{1589D75D-E707-4B9D-963B-DE325E384EFC}">
      <formula1>INDIRECT("FertiliserProducts[Product]")</formula1>
    </dataValidation>
    <dataValidation type="list" allowBlank="1" showInputMessage="1" showErrorMessage="1" sqref="Q25:R34" xr:uid="{C39BBCA7-0F63-44CA-8955-85C4C7A02937}">
      <formula1>INDIRECT("Table_SourceData_Fertiliser_UreaAmmoniaSources[Source]")</formula1>
    </dataValidation>
    <dataValidation type="list" allowBlank="1" showInputMessage="1" showErrorMessage="1" sqref="D54:D56" xr:uid="{8F2B47D1-C4DB-4E27-BD5A-3E3F3C7E4B25}">
      <formula1>INDIRECT("Table_SourceData_OrganicFertiliserTypes[Organic fertiliser type]")</formula1>
    </dataValidation>
    <dataValidation type="list" allowBlank="1" showInputMessage="1" showErrorMessage="1" sqref="H25:H34 J25:J34 L25:L34 N25:N34" xr:uid="{AF5656D9-B835-4338-AEC2-5948A30F4B51}">
      <formula1>INDIRECT("Table_Fertiliser_ChemicalCompounds[Fertiliser type f]")</formula1>
    </dataValidation>
    <dataValidation type="list" allowBlank="1" showInputMessage="1" showErrorMessage="1" sqref="E81" xr:uid="{CC0D8BE0-F78D-48B7-B5FE-007D0C7322B6}">
      <formula1>INDIRECT("Table_SourceData_Swine_CropProdSystems[Production system]")</formula1>
    </dataValidation>
    <dataValidation type="list" allowBlank="1" showInputMessage="1" showErrorMessage="1" sqref="E82" xr:uid="{81D7DCD4-A1D3-4BF3-AB19-D62993F4B34A}">
      <formula1>INDIRECT("Table_SourceData_Swine_IrrigationMethods[Irrigation method]")</formula1>
    </dataValidation>
    <dataValidation type="list" allowBlank="1" showInputMessage="1" showErrorMessage="1" sqref="E266 E271 E276 E310 E305 E300 E178 E166 E142 E154" xr:uid="{71018238-ABEF-40DC-BBE3-7CA38F841782}">
      <formula1>"Yes, No"</formula1>
    </dataValidation>
    <dataValidation type="list" allowBlank="1" showInputMessage="1" showErrorMessage="1" sqref="E242" xr:uid="{4F505270-7420-4A3C-9EA5-298DBBE0EDC6}">
      <formula1>INDIRECT("Table_SourceData_Dairy_ProductionSystemTemplates[Area]")</formula1>
    </dataValidation>
    <dataValidation type="list" allowBlank="1" showInputMessage="1" showErrorMessage="1" sqref="D294" xr:uid="{FBD57EE8-A4A7-48D8-8480-2437819A4008}">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904B-F88C-4361-8B0C-BB9BEFC062EE}">
  <sheetPr>
    <tabColor rgb="FF008000"/>
  </sheetPr>
  <dimension ref="A1:X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752</v>
      </c>
      <c r="K1"/>
    </row>
    <row r="2" spans="1:24" s="3" customFormat="1" ht="20.100000000000001" customHeight="1" x14ac:dyDescent="0.2">
      <c r="A2"/>
      <c r="K2"/>
    </row>
    <row r="3" spans="1:24"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c r="T3" s="22"/>
      <c r="U3" s="22"/>
      <c r="V3" s="22"/>
      <c r="W3" s="22"/>
      <c r="X3" s="22"/>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7" t="s">
        <v>753</v>
      </c>
    </row>
    <row r="6" spans="1:24" ht="20.100000000000001" customHeight="1" x14ac:dyDescent="0.2">
      <c r="D6" s="17" t="str" cm="1">
        <f t="array" ref="D6">Fertiliser_Equations_InorganicN2O.VEERG_5_1_1_1__2_MassOfNitrogenInInorganicFertiliser_Source()</f>
        <v>VEERG 2026: 5.1.1.1, Equation (2)</v>
      </c>
      <c r="M6" s="221" t="s">
        <v>754</v>
      </c>
      <c r="N6" s="221"/>
      <c r="O6" s="221"/>
      <c r="P6" s="221"/>
      <c r="Q6" s="221"/>
      <c r="R6" s="221"/>
      <c r="S6" s="221"/>
    </row>
    <row r="7" spans="1:24" ht="20.100000000000001" customHeight="1" x14ac:dyDescent="0.2">
      <c r="D7" s="112" t="s">
        <v>328</v>
      </c>
      <c r="E7" s="112" t="str" cm="1">
        <f t="array" aca="1" ref="E7" ca="1">Common_InputFunctions.Utility_DisplayFunctionName(G19)</f>
        <v>=Fertiliser_Equations_InorganicN2O.VEERG_5_1_1_1__2_MassOfNitrogenInInorganicFertiliser</v>
      </c>
      <c r="M7" s="118" t="s">
        <v>755</v>
      </c>
    </row>
    <row r="8" spans="1:24" ht="20.100000000000001" customHeight="1" x14ac:dyDescent="0.2">
      <c r="A8" s="7" t="s">
        <v>0</v>
      </c>
      <c r="M8" s="119" t="s">
        <v>756</v>
      </c>
    </row>
    <row r="9" spans="1:24" ht="20.100000000000001" customHeight="1" x14ac:dyDescent="0.2">
      <c r="A9" s="5" t="str">
        <f>HYPERLINK("#'Input - Enterprise'!A1", "Enterprise")</f>
        <v>Enterprise</v>
      </c>
      <c r="O9" s="222" t="s">
        <v>757</v>
      </c>
      <c r="P9" s="222" t="s">
        <v>685</v>
      </c>
      <c r="Q9" s="222" t="s">
        <v>758</v>
      </c>
    </row>
    <row r="10" spans="1:24" ht="20.100000000000001" customHeight="1" x14ac:dyDescent="0.2">
      <c r="A10" s="5" t="str">
        <f>HYPERLINK("#'Input - Site'!A1", "Site")</f>
        <v>Site</v>
      </c>
      <c r="D10" s="75" t="s">
        <v>329</v>
      </c>
      <c r="E10" s="1" t="str" cm="1">
        <f t="array" ref="E10">Fertiliser_Equations_InorganicN2O.VEERG_5_1_1_1__2_MassOfNitrogenInInorganicFertiliser_Variable()</f>
        <v>MN_jf</v>
      </c>
      <c r="M10" s="120" t="s">
        <v>759</v>
      </c>
      <c r="N10" s="78" t="s">
        <v>759</v>
      </c>
      <c r="O10" s="78" t="s">
        <v>760</v>
      </c>
      <c r="P10" s="78" t="s">
        <v>761</v>
      </c>
      <c r="Q10" s="120" t="s">
        <v>762</v>
      </c>
    </row>
    <row r="11" spans="1:24" ht="20.100000000000001" customHeight="1" x14ac:dyDescent="0.2">
      <c r="A11" s="5" t="str">
        <f>HYPERLINK("#'Input - Poultry'!A1", "Poultry")</f>
        <v>Poultry</v>
      </c>
      <c r="D11" s="75" t="s">
        <v>118</v>
      </c>
      <c r="E11" s="9" t="str" cm="1">
        <f t="array" ref="E11">Fertiliser_Equations_InorganicN2O.VEERG_5_1_1_1__2_MassOfNitrogenInInorganicFertiliser_Unit()</f>
        <v>kg N</v>
      </c>
      <c r="M11" s="15" t="s">
        <v>763</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v>
      </c>
      <c r="Q11" s="15">
        <f>O11*P11</f>
        <v>4600</v>
      </c>
    </row>
    <row r="12" spans="1:24" ht="20.100000000000001" customHeight="1" x14ac:dyDescent="0.2">
      <c r="A12" s="5" t="str">
        <f>HYPERLINK("#'Input - Livestock sales'!A1", "Livestock sales")</f>
        <v>Livestock sales</v>
      </c>
      <c r="M12" s="15" t="s">
        <v>763</v>
      </c>
      <c r="N12" s="15" t="str">
        <v>Boost-It</v>
      </c>
      <c r="O12" s="15">
        <v>24</v>
      </c>
      <c r="P12" s="15">
        <v>100</v>
      </c>
      <c r="Q12" s="15">
        <f>O12*P12</f>
        <v>2400</v>
      </c>
    </row>
    <row r="13" spans="1:24" ht="20.100000000000001" customHeight="1" x14ac:dyDescent="0.2">
      <c r="A13" s="5" t="str">
        <f>HYPERLINK("#'Input - Poultry purchases'!A1", "Poultry purchases")</f>
        <v>Poultry purchases</v>
      </c>
      <c r="D13" s="126" t="str" cm="1">
        <f t="array" ref="D13:E14">_xlfn.CHOOSECOLS(Fertiliser_Equations_InorganicN2O.VEERG_5_1_1_1__2_MassOfNitrogenInInorganicFertiliser_Arguments(), 1,2)</f>
        <v>TM_jf</v>
      </c>
      <c r="E13" s="126" t="str">
        <v>total mass of inorganic fertiliser type f applied to production system j</v>
      </c>
      <c r="F13" s="126"/>
      <c r="G13" s="126" t="str" cm="1">
        <f t="array" ref="G13:H14">_xlfn.CHOOSECOLS(Fertiliser_Equations_InorganicN2O.VEERG_5_1_1_1__2_MassOfNitrogenInInorganicFertiliser_Arguments(), 3,4)</f>
        <v>kg</v>
      </c>
      <c r="H13" s="114" t="str">
        <v>Input</v>
      </c>
      <c r="I13" s="116" t="str" cm="1">
        <f t="array" aca="1" ref="I13" ca="1">HYPERLINK(Common_InputFunctions.Utility_SourceHyperlink($D$16), $D$16)</f>
        <v>Table_MN_j_f</v>
      </c>
      <c r="M13" s="15" t="s">
        <v>763</v>
      </c>
      <c r="N13" s="15" t="str">
        <v>Cal-Gran 50/50</v>
      </c>
      <c r="O13" s="15">
        <v>17.899999999999999</v>
      </c>
      <c r="P13" s="15">
        <v>100</v>
      </c>
      <c r="Q13" s="15">
        <f t="shared" ref="Q13:Q20" si="0">O13*P13</f>
        <v>1789.9999999999998</v>
      </c>
    </row>
    <row r="14" spans="1:24" ht="20.100000000000001" customHeight="1" x14ac:dyDescent="0.2">
      <c r="A14" s="5" t="str">
        <f>HYPERLINK("#'Input - Fuel'!A1", "Fuel")</f>
        <v>Fuel</v>
      </c>
      <c r="D14" s="126" t="str">
        <v>FN_inorganicf</v>
      </c>
      <c r="E14" s="129" t="str">
        <v xml:space="preserve">fraction of nitrogen in inorganic fertiliser type f </v>
      </c>
      <c r="F14" s="223"/>
      <c r="G14" s="126" t="str">
        <v>kg N/kg</v>
      </c>
      <c r="H14" s="115" t="str">
        <v>Constant</v>
      </c>
      <c r="I14" s="116" t="str" cm="1">
        <f t="array" aca="1" ref="I14" ca="1">HYPERLINK(Common_InputFunctions.Utility_SourceHyperlink($D$16), $D$16)</f>
        <v>Table_MN_j_f</v>
      </c>
      <c r="M14" s="15" t="s">
        <v>763</v>
      </c>
      <c r="N14" s="15">
        <v>0</v>
      </c>
      <c r="O14" s="15">
        <v>0</v>
      </c>
      <c r="P14" s="15">
        <v>0</v>
      </c>
      <c r="Q14" s="15">
        <f t="shared" si="0"/>
        <v>0</v>
      </c>
    </row>
    <row r="15" spans="1:24" ht="20.100000000000001" customHeight="1" x14ac:dyDescent="0.2">
      <c r="A15" s="5" t="str">
        <f>HYPERLINK("#'Input - Electricity'!A1", "Electricity")</f>
        <v>Electricity</v>
      </c>
      <c r="M15" s="15" t="s">
        <v>763</v>
      </c>
      <c r="N15" s="15">
        <v>0</v>
      </c>
      <c r="O15" s="15">
        <v>0</v>
      </c>
      <c r="P15" s="15">
        <v>0</v>
      </c>
      <c r="Q15" s="15">
        <f t="shared" si="0"/>
        <v>0</v>
      </c>
    </row>
    <row r="16" spans="1:24" ht="20.100000000000001" customHeight="1" x14ac:dyDescent="0.2">
      <c r="A16" s="5" t="str">
        <f>HYPERLINK("#'Input - Common farm inputs'!A1", "Common farm inputs")</f>
        <v>Common farm inputs</v>
      </c>
      <c r="D16" s="118" t="s">
        <v>764</v>
      </c>
      <c r="M16" s="15" t="s">
        <v>763</v>
      </c>
      <c r="N16" s="15">
        <v>0</v>
      </c>
      <c r="O16" s="15">
        <v>0</v>
      </c>
      <c r="P16" s="15">
        <v>0</v>
      </c>
      <c r="Q16" s="15">
        <f t="shared" si="0"/>
        <v>0</v>
      </c>
    </row>
    <row r="17" spans="1:17" ht="20.100000000000001" customHeight="1" x14ac:dyDescent="0.2">
      <c r="A17" s="5" t="str">
        <f>HYPERLINK("#'Input - Livestock farm Inputs'!A1", "Livestock farm Inputs")</f>
        <v>Livestock farm Inputs</v>
      </c>
      <c r="D17" s="119" t="s">
        <v>765</v>
      </c>
      <c r="M17" s="15" t="s">
        <v>763</v>
      </c>
      <c r="N17" s="15">
        <v>0</v>
      </c>
      <c r="O17" s="15">
        <v>0</v>
      </c>
      <c r="P17" s="15">
        <v>0</v>
      </c>
      <c r="Q17" s="15">
        <f t="shared" si="0"/>
        <v>0</v>
      </c>
    </row>
    <row r="18" spans="1:17" ht="20.100000000000001" customHeight="1" x14ac:dyDescent="0.2">
      <c r="A18" s="5" t="str">
        <f>HYPERLINK("#'Input - Freight'!A1", "Freight")</f>
        <v>Freight</v>
      </c>
      <c r="D18" s="120" t="s">
        <v>766</v>
      </c>
      <c r="E18" s="78" t="s">
        <v>767</v>
      </c>
      <c r="F18" s="120" t="s">
        <v>768</v>
      </c>
      <c r="G18" s="120" t="s">
        <v>769</v>
      </c>
      <c r="M18" s="15" t="s">
        <v>763</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763</v>
      </c>
      <c r="N19" s="15">
        <v>0</v>
      </c>
      <c r="O19" s="15">
        <v>0</v>
      </c>
      <c r="P19" s="15">
        <v>0</v>
      </c>
      <c r="Q19" s="15">
        <f t="shared" si="0"/>
        <v>0</v>
      </c>
    </row>
    <row r="20" spans="1: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763</v>
      </c>
      <c r="N20" s="15">
        <v>0</v>
      </c>
      <c r="O20" s="15">
        <v>0</v>
      </c>
      <c r="P20" s="15">
        <v>0</v>
      </c>
      <c r="Q20" s="15">
        <f t="shared" si="0"/>
        <v>0</v>
      </c>
    </row>
    <row r="21" spans="1: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11599.999400000001</v>
      </c>
      <c r="M21" s="15" t="s">
        <v>770</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v>
      </c>
      <c r="Q21" s="15">
        <f>O21*P21</f>
        <v>775</v>
      </c>
    </row>
    <row r="22" spans="1: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770</v>
      </c>
      <c r="N22" s="15" t="str">
        <v>My second custom blend</v>
      </c>
      <c r="O22" s="15">
        <v>46</v>
      </c>
      <c r="P22" s="15">
        <v>100</v>
      </c>
      <c r="Q22" s="15">
        <f>O22*P22</f>
        <v>4600</v>
      </c>
    </row>
    <row r="23" spans="1: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770</v>
      </c>
      <c r="N23" s="15" t="str">
        <v>My third custom blend</v>
      </c>
      <c r="O23" s="15">
        <v>41.174999999999997</v>
      </c>
      <c r="P23" s="15">
        <v>100</v>
      </c>
      <c r="Q23" s="15">
        <f>O23*P23</f>
        <v>4117.5</v>
      </c>
    </row>
    <row r="24" spans="1: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770</v>
      </c>
      <c r="N24" s="15">
        <v>0</v>
      </c>
      <c r="O24" s="15">
        <v>0</v>
      </c>
      <c r="P24" s="15">
        <v>0</v>
      </c>
      <c r="Q24" s="15">
        <f>O24*P24</f>
        <v>0</v>
      </c>
    </row>
    <row r="25" spans="1: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770</v>
      </c>
      <c r="N25" s="15">
        <v>0</v>
      </c>
      <c r="O25" s="15">
        <v>0</v>
      </c>
      <c r="P25" s="15">
        <v>0</v>
      </c>
      <c r="Q25" s="15">
        <f>O25*P25</f>
        <v>0</v>
      </c>
    </row>
    <row r="26" spans="1: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1240</v>
      </c>
      <c r="M26" s="15" t="s">
        <v>770</v>
      </c>
      <c r="N26" s="15">
        <v>0</v>
      </c>
      <c r="O26" s="15">
        <v>0</v>
      </c>
      <c r="P26" s="15">
        <v>0</v>
      </c>
      <c r="Q26" s="15">
        <f t="shared" ref="Q26:Q30" si="1">O26*P26</f>
        <v>0</v>
      </c>
    </row>
    <row r="27" spans="1:17" ht="20.100000000000001" customHeight="1" x14ac:dyDescent="0.2">
      <c r="A27" s="5" t="str">
        <f>HYPERLINK("#'4.6.1.1-2 Methane'!A1", "4.6.1.1-2 Manure Methane")</f>
        <v>4.6.1.1-2 Manure Methane</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550</v>
      </c>
      <c r="M27" s="15" t="s">
        <v>770</v>
      </c>
      <c r="N27" s="15">
        <v>0</v>
      </c>
      <c r="O27" s="15">
        <v>0</v>
      </c>
      <c r="P27" s="15">
        <v>0</v>
      </c>
      <c r="Q27" s="15">
        <f t="shared" si="1"/>
        <v>0</v>
      </c>
    </row>
    <row r="28" spans="1:17" ht="20.100000000000001" customHeight="1" x14ac:dyDescent="0.2">
      <c r="A28" s="5" t="str">
        <f>HYPERLINK("#'4.6.1.3-4 Direct N20'!A1", "4.6.1.3-4 Manure Direct N2O")</f>
        <v>4.6.1.3-4 Manure Direct N2O</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770</v>
      </c>
      <c r="N28" s="15">
        <v>0</v>
      </c>
      <c r="O28" s="15">
        <v>0</v>
      </c>
      <c r="P28" s="15">
        <v>0</v>
      </c>
      <c r="Q28" s="15">
        <f t="shared" si="1"/>
        <v>0</v>
      </c>
    </row>
    <row r="29" spans="1:17" ht="20.100000000000001" customHeight="1" x14ac:dyDescent="0.2">
      <c r="A29" s="5" t="str">
        <f>HYPERLINK("#'4.6.1.5-6 Atmos Dep'!A1", "4.6.1.5-6 Manure Atmos Dep")</f>
        <v>4.6.1.5-6 Manure Atmos Dep</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770</v>
      </c>
      <c r="N29" s="15">
        <v>0</v>
      </c>
      <c r="O29" s="15">
        <v>0</v>
      </c>
      <c r="P29" s="15">
        <v>0</v>
      </c>
      <c r="Q29" s="15">
        <f t="shared" si="1"/>
        <v>0</v>
      </c>
    </row>
    <row r="30" spans="1:17" ht="20.100000000000001" customHeight="1" x14ac:dyDescent="0.2">
      <c r="A30" s="5" t="str">
        <f>HYPERLINK("#'4.6.1.7-8 Leaching and runoff'!A1", "4.6.1.7-8 Manure Leaching and runoff")</f>
        <v>4.6.1.7-8 Manure Leaching and runoff</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770</v>
      </c>
      <c r="N30" s="15">
        <v>0</v>
      </c>
      <c r="O30" s="15">
        <v>0</v>
      </c>
      <c r="P30" s="15">
        <v>0</v>
      </c>
      <c r="Q30" s="15">
        <f t="shared" si="1"/>
        <v>0</v>
      </c>
    </row>
    <row r="31" spans="1:17" ht="20.100000000000001" customHeight="1" x14ac:dyDescent="0.2">
      <c r="A31" s="5" t="str">
        <f>HYPERLINK("#'4.6.1.9 Manure applied to soils'!A1", "4.6.1.9 Manure applied to soils")</f>
        <v>4.6.1.9 Manure applied to soils</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
      <c r="A32" s="5" t="str">
        <f>HYPERLINK("#'4.6.1.10-11 Soil direct N2O'!A1", "4.6.1.10-11 Soil direct N2O")</f>
        <v>4.6.1.10-11 Soil direct N2O</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
      <c r="A33" s="5" t="str">
        <f>HYPERLINK("#'4.6.1.12-13 Soil atmos dep'!A1", "4.6.1.12-13 Soil atmos dep")</f>
        <v>4.6.1.12-13 Soil atmos dep</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88" t="s">
        <v>771</v>
      </c>
      <c r="N33" s="83">
        <f>SUM(Q11:Q30)</f>
        <v>18282.5</v>
      </c>
    </row>
    <row r="34" spans="1:24" ht="20.100000000000001" customHeight="1" x14ac:dyDescent="0.2">
      <c r="A34" s="5" t="str">
        <f>HYPERLINK("#'4.6.1.14-15 Soil leach runoff'!A1", "4.6.1.14-15 Soil leach runoff")</f>
        <v>4.6.1.14-15 Soil leach runoff</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5" t="s">
        <v>772</v>
      </c>
      <c r="N34" s="1">
        <f>MAX(P11:P30)</f>
        <v>100</v>
      </c>
    </row>
    <row r="35" spans="1:24" ht="20.100000000000001" customHeight="1" x14ac:dyDescent="0.2">
      <c r="A35" s="5" t="str">
        <f>HYPERLINK("#'8.1.1.1-2 Transport fuel'!A1", "8.1.1.1-2 Transport fuel")</f>
        <v>8.1.1.1-2 Transport fuel</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5" t="s">
        <v>773</v>
      </c>
      <c r="N35" s="1">
        <f>N33/N34</f>
        <v>182.82499999999999</v>
      </c>
    </row>
    <row r="36" spans="1:24" ht="20.100000000000001" customHeight="1" x14ac:dyDescent="0.2">
      <c r="A36" s="5" t="str">
        <f>HYPERLINK("#'8.2.1.1-2 Stationary fuel'!A1", "8.2.1.1-2 Stationary fuel")</f>
        <v>8.2.1.1-2 Stationary fuel</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4117.5</v>
      </c>
    </row>
    <row r="37" spans="1:24" ht="20.100000000000001" customHeight="1" x14ac:dyDescent="0.2">
      <c r="A37" s="5" t="str">
        <f>HYPERLINK("#'10.1.1-2 Solid waste treatment'!A1", "10.1.1.1-2 Solid waste")</f>
        <v>10.1.1.1-2 Solid waste</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775</v>
      </c>
      <c r="L37" s="83"/>
      <c r="M37" s="83"/>
      <c r="N37" s="83"/>
      <c r="O37" s="83"/>
      <c r="P37" s="83"/>
      <c r="Q37" s="83"/>
      <c r="R37" s="83"/>
      <c r="S37" s="83"/>
      <c r="T37" s="83"/>
      <c r="U37" s="83"/>
      <c r="V37" s="83"/>
      <c r="W37" s="83"/>
      <c r="X37" s="83"/>
    </row>
    <row r="38" spans="1:24" ht="20.100000000000001" customHeight="1" x14ac:dyDescent="0.2">
      <c r="A38" s="5" t="str">
        <f>HYPERLINK("#'14.1.1-2 Purchased electricity'!A1", "14.1.1-2 Purchased electricity")</f>
        <v>14.1.1-2 Purchased electricity</v>
      </c>
    </row>
    <row r="39" spans="1:24" ht="20.100000000000001" customHeight="1" x14ac:dyDescent="0.2">
      <c r="A39" s="5" t="str">
        <f>HYPERLINK("#'15 Scope 3'!A1", "15 Scope 3")</f>
        <v>15 Scope 3</v>
      </c>
      <c r="C39" s="83"/>
      <c r="D39" s="83"/>
      <c r="E39" s="83"/>
      <c r="F39" s="83"/>
      <c r="G39" s="83"/>
      <c r="H39" s="83"/>
      <c r="I39" s="83"/>
      <c r="J39" s="83"/>
      <c r="M39" s="2" t="str" cm="1">
        <f t="array" ref="M39">Fertiliser_Equations_InorganicN2O.VEERG_5_1_1_2__1_EmissionFactorIrrigatedMaize_Title()</f>
        <v>Emission factor for nitrous oxide for irrigated maize</v>
      </c>
    </row>
    <row r="40" spans="1:24" ht="20.100000000000001" customHeight="1" x14ac:dyDescent="0.2">
      <c r="A40" s="5" t="str">
        <f>HYPERLINK("#'Calcs - Manure sent off-site'!A1", "Calcs - Manure sent off-site")</f>
        <v>Calcs - Manure sent off-site</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
      <c r="A41" s="117" t="str">
        <f>HYPERLINK("#'5.1.1.1-2 Inorganic fert N2O'!A1", "5.1.1.1-2 Inorganic fert N2O")</f>
        <v>5.1.1.1-2 Inorganic fert N2O</v>
      </c>
      <c r="D41" s="17" t="str" cm="1">
        <f t="array" ref="D41">Fertiliser_Equations_InorganicN2O.VEERG_5_1_1_1__1_InorganicFertiliserApplicationN2OEmissions_Source()</f>
        <v>VEERG 2026: 5.1.1.1, Equation (1)</v>
      </c>
    </row>
    <row r="42" spans="1:24" ht="20.100000000000001" customHeight="1" x14ac:dyDescent="0.2">
      <c r="A42" s="5" t="str">
        <f>HYPERLINK("#'5.1.1.3-4 Inorganic fert CO2'!A1", "5.1.1.3-4 Inorganic fert CO2")</f>
        <v>5.1.1.3-4 Inorganic fert CO2</v>
      </c>
      <c r="D42" s="112" t="s">
        <v>328</v>
      </c>
      <c r="E42" s="112" t="str" cm="1">
        <f t="array" aca="1" ref="E42" ca="1">Common_InputFunctions.Utility_DisplayFunctionName($E$60)</f>
        <v>=Fertiliser_Equations_InorganicN2O.VEERG_5_1_1_1__1_InorganicFertiliserApplicationN2OEmissions</v>
      </c>
      <c r="F42" s="16"/>
    </row>
    <row r="43" spans="1:24" ht="20.100000000000001" customHeight="1" x14ac:dyDescent="0.2">
      <c r="A43" s="5" t="str">
        <f>HYPERLINK("#'5.2.1.1-2 Organic Fert N2O'!A1", "5.2.1.1-2 Organic Fert N2O")</f>
        <v>5.2.1.1-2 Organic Fert N2O</v>
      </c>
      <c r="F43" s="16"/>
      <c r="M43" s="75" t="s">
        <v>329</v>
      </c>
      <c r="N43" s="1" t="str" cm="1">
        <f t="array" ref="N43">Fertiliser_Equations_InorganicN2O.VEERG_5_1_1_2__1_EmissionFactorIrrigatedMaize_Variable()</f>
        <v>EF_fjIrrigatedMaizeN2O</v>
      </c>
    </row>
    <row r="44" spans="1:24" ht="20.100000000000001" customHeight="1" x14ac:dyDescent="0.2">
      <c r="A44" s="5" t="str">
        <f>HYPERLINK("#'5.3.1.1-2 Lime CO2'!A1", "5.3.1.1-2 Lime CO2")</f>
        <v>5.3.1.1-2 Lime CO2</v>
      </c>
      <c r="F44" s="16"/>
      <c r="M44" s="75" t="s">
        <v>118</v>
      </c>
      <c r="N44" s="9" t="str" cm="1">
        <f t="array" ref="N44">Fertiliser_Equations_InorganicN2O.VEERG_5_1_1_2__1_EmissionFactorIrrigatedMaize_Unit()</f>
        <v>kg N2O-N/kg N applied</v>
      </c>
    </row>
    <row r="45" spans="1:24" ht="20.100000000000001" customHeight="1" x14ac:dyDescent="0.2">
      <c r="A45" s="5" t="str">
        <f>HYPERLINK("#'5.4.1.1-4 Atmos deposition'!A1", "5.4.1.1-4 Atmos deposition")</f>
        <v>5.4.1.1-4 Atmos deposition</v>
      </c>
      <c r="F45" s="16"/>
    </row>
    <row r="46" spans="1:24" ht="20.100000000000001" customHeight="1" x14ac:dyDescent="0.2">
      <c r="A46" s="5" t="str">
        <f>HYPERLINK("#'5.5.1.1-2 Leaching and runoff'!A1", "5.5.1.1-2 Leaching and runoff")</f>
        <v>5.5.1.1-2 Leaching and runoff</v>
      </c>
      <c r="D46" s="75" t="s">
        <v>329</v>
      </c>
      <c r="E46" s="1" t="str" cm="1">
        <f t="array" ref="E46">Fertiliser_Equations_InorganicN2O.VEERG_5_1_1_1__1_InorganicFertiliserApplicationN2OEmissions_Variable()</f>
        <v>E_N2O</v>
      </c>
      <c r="F46" s="16"/>
      <c r="M46" s="126" t="str" cm="1">
        <f t="array" ref="M46:N47">_xlfn.CHOOSECOLS(Fertiliser_Equations_InorganicN2O.VEERG_5_1_1_2__1_EmissionFactorIrrigatedMaize_Arguments(), 1, 2)</f>
        <v>N_fjIrrigatedMaize</v>
      </c>
      <c r="N46" s="129" t="str">
        <v>application rate of inorganic fertiliser type f in the irrigated maize crop</v>
      </c>
      <c r="O46" s="224"/>
      <c r="P46" s="126" t="str" cm="1">
        <f t="array" ref="P46:Q47">_xlfn.CHOOSECOLS(Fertiliser_Equations_InorganicN2O.VEERG_5_1_1_2__1_EmissionFactorIrrigatedMaize_Arguments(), 3,4)</f>
        <v>kg N/ha</v>
      </c>
      <c r="Q46" s="114" t="str">
        <v>Input</v>
      </c>
      <c r="R46" s="122">
        <f>$N$35</f>
        <v>182.82499999999999</v>
      </c>
      <c r="S46" s="225"/>
    </row>
    <row r="47" spans="1:24" ht="20.100000000000001" customHeight="1" x14ac:dyDescent="0.2">
      <c r="D47" s="75" t="s">
        <v>118</v>
      </c>
      <c r="E47" s="9" t="str" cm="1">
        <f t="array" ref="E47">Fertiliser_Equations_InorganicN2O.VEERG_5_1_1_1__1_InorganicFertiliserApplicationN2OEmissions_Unit()</f>
        <v>t N2O</v>
      </c>
      <c r="F47" s="16"/>
      <c r="M47" s="126" t="str">
        <v>f</v>
      </c>
      <c r="N47" s="129" t="str">
        <v>Inorganic fertiliser type</v>
      </c>
      <c r="O47" s="224"/>
      <c r="P47" s="126" t="str">
        <v/>
      </c>
      <c r="Q47" s="115" t="str">
        <v>Constant</v>
      </c>
      <c r="R47" s="129" t="s">
        <v>774</v>
      </c>
      <c r="S47" s="225"/>
    </row>
    <row r="48" spans="1:24" ht="20.100000000000001" customHeight="1" x14ac:dyDescent="0.2">
      <c r="F48" s="16"/>
    </row>
    <row r="49" spans="1:19" ht="20.100000000000001" customHeight="1" x14ac:dyDescent="0.2">
      <c r="A49" s="80" t="s">
        <v>1</v>
      </c>
      <c r="D49" s="126" t="str" cm="1">
        <f t="array" ref="D49:E55">_xlfn.CHOOSECOLS(Fertiliser_Equations_InorganicN2O.VEERG_5_1_1_1__1_InorganicFertiliserApplicationN2OEmissions_Arguments(), 1, 2)</f>
        <v>MN_jf</v>
      </c>
      <c r="E49" s="129" t="str">
        <v>mass of nitrogen in inorganic fertiliser type f applied to production system j</v>
      </c>
      <c r="F49" s="224"/>
      <c r="G49" s="126" t="str" cm="1">
        <f t="array" ref="G49:H55">_xlfn.CHOOSECOLS(Fertiliser_Equations_InorganicN2O.VEERG_5_1_1_1__1_InorganicFertiliserApplicationN2OEmissions_Arguments(), 3,4)</f>
        <v>kg N</v>
      </c>
      <c r="H49" s="115" t="str">
        <v>Calculated from 5.1.1.1 (2)</v>
      </c>
      <c r="I49" s="116" t="str" cm="1">
        <f t="array" aca="1" ref="I49" ca="1">HYPERLINK(Common_InputFunctions.Utility_SourceHyperlink(D16), D16)</f>
        <v>Table_MN_j_f</v>
      </c>
      <c r="M49" s="1" t="s">
        <v>775</v>
      </c>
      <c r="N49" s="1" cm="1">
        <f t="array" ref="N49">Fertiliser_Equations_InorganicN2O.VEERG_5_1_1_2__1_EmissionFactorIrrigatedMaize(R46)</f>
        <v>9.6783250000000015E-3</v>
      </c>
      <c r="O49" s="9" t="str">
        <f>N44</f>
        <v>kg N2O-N/kg N applied</v>
      </c>
    </row>
    <row r="50" spans="1:19" ht="20.100000000000001" customHeight="1" x14ac:dyDescent="0.2">
      <c r="A50" s="5" t="str">
        <f>HYPERLINK("#'Constants - Poultry'!A1", "Constants - Poultry")</f>
        <v>Constants - Poultry</v>
      </c>
      <c r="D50" s="126" t="str">
        <v>EF_jN2O</v>
      </c>
      <c r="E50" s="129" t="str">
        <v>emission factor for nitrous oxide for inorganic fertilisers</v>
      </c>
      <c r="F50" s="224"/>
      <c r="G50" s="126" t="str">
        <v>kg N2O-N/kg N applied</v>
      </c>
      <c r="H50" s="115" t="str">
        <v>Constant</v>
      </c>
      <c r="I50" s="126">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A51" s="5" t="str">
        <f>HYPERLINK("#'Constants - Common livestock'!A1", "Constants - Common Livestock")</f>
        <v>Constants - Common Livestock</v>
      </c>
      <c r="D51" s="126" t="str">
        <v>C_N2O</v>
      </c>
      <c r="E51" s="129" t="str">
        <v>factor to convert elemental mass of nitrous oxide to molecular mass</v>
      </c>
      <c r="F51" s="224"/>
      <c r="G51" s="126" t="str">
        <v/>
      </c>
      <c r="H51" s="115" t="str">
        <v>Constant</v>
      </c>
      <c r="I51" s="126">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Electricity'!A1", "Constants - Electricity")</f>
        <v>Constants - Electricity</v>
      </c>
      <c r="D52" s="126" t="str">
        <v>j</v>
      </c>
      <c r="E52" s="129" t="str">
        <v>Production system</v>
      </c>
      <c r="F52" s="224"/>
      <c r="G52" s="126" t="str">
        <v/>
      </c>
      <c r="H52" s="114" t="str">
        <v>Input</v>
      </c>
      <c r="I52" s="126" t="str">
        <f>X_Cell_Fertiliser_ProductionSystem</f>
        <v>Crop</v>
      </c>
    </row>
    <row r="53" spans="1:19" ht="20.100000000000001" customHeight="1" x14ac:dyDescent="0.2">
      <c r="A53" s="5" t="str">
        <f>HYPERLINK("#'Constants - Fertiliser'!A1", "Constants - Fertiliser")</f>
        <v>Constants - Fertiliser</v>
      </c>
      <c r="D53" s="126" t="str">
        <v>f</v>
      </c>
      <c r="E53" s="129" t="str">
        <v>Inorganic fertiliser type</v>
      </c>
      <c r="F53" s="224"/>
      <c r="G53" s="126" t="str">
        <v/>
      </c>
      <c r="H53" s="115" t="str">
        <v>Constant</v>
      </c>
      <c r="I53" s="126"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
      <c r="A54" s="5" t="str">
        <f>HYPERLINK("#'Constants - Fuel'!A1", "Constants - Fuel")</f>
        <v>Constants - Fuel</v>
      </c>
      <c r="D54" s="126" t="str">
        <v>ir</v>
      </c>
      <c r="E54" s="129" t="str">
        <v>irrigation method</v>
      </c>
      <c r="F54" s="224"/>
      <c r="G54" s="126" t="str">
        <v/>
      </c>
      <c r="H54" s="114" t="str">
        <v>Input</v>
      </c>
      <c r="I54" s="126" t="str">
        <f>X_Cell_Fertiliser_IrrigationMethod</f>
        <v>Drip irrigation</v>
      </c>
      <c r="M54" s="17" t="str" cm="1">
        <f t="array" ref="M54">Fertiliser_Equations_InorganicN2O.VEERG_5_1_1_2__2_EmissionFactorNonIrrigatedGrainsHighRainfall_Source()</f>
        <v>VEERG 2026: 5.1.1.2, Equation (2)</v>
      </c>
    </row>
    <row r="55" spans="1:19" ht="20.100000000000001" customHeight="1" x14ac:dyDescent="0.2">
      <c r="A55" s="5" t="str">
        <f>HYPERLINK("#'Constants - Scope 3'!A1", "Constants - Scope 3")</f>
        <v>Constants - Scope 3</v>
      </c>
      <c r="D55" s="126" t="str">
        <v>z</v>
      </c>
      <c r="E55" s="129" t="str">
        <v>rainfall zone</v>
      </c>
      <c r="F55" s="224"/>
      <c r="G55" s="126" t="str">
        <v/>
      </c>
      <c r="H55" s="114" t="str">
        <v>Input</v>
      </c>
      <c r="I55" s="126" t="str">
        <f>X_Cell_Site_RainfallZone</f>
        <v>High rainfall</v>
      </c>
    </row>
    <row r="56" spans="1:19" ht="20.100000000000001" customHeight="1" x14ac:dyDescent="0.2">
      <c r="A56" s="5" t="str">
        <f>HYPERLINK("#'Constants - Solid Waste'!A1", "Constants - Solid Waste")</f>
        <v>Constants - Solid Waste</v>
      </c>
      <c r="F56" s="16"/>
    </row>
    <row r="57" spans="1:19" ht="20.100000000000001" customHeight="1" x14ac:dyDescent="0.2">
      <c r="A57" s="5" t="str">
        <f>HYPERLINK("#'Constants - Common'!A1", "Constants - Common")</f>
        <v>Constants - Common</v>
      </c>
      <c r="D57" s="118" t="s">
        <v>776</v>
      </c>
      <c r="F57" s="16"/>
      <c r="M57" s="75" t="s">
        <v>329</v>
      </c>
      <c r="N57" s="1" t="str" cm="1">
        <f t="array" ref="N57">Fertiliser_Equations_InorganicN2O.VEERG_5_1_1_2__2_EmissionFactorNonIrrigatedGrainsHighRainfall_Variable()</f>
        <v>EF_fjNonIrrigatedGrainsN2O</v>
      </c>
    </row>
    <row r="58" spans="1:19" ht="20.100000000000001" customHeight="1" x14ac:dyDescent="0.2">
      <c r="D58" s="119" t="s">
        <v>777</v>
      </c>
      <c r="F58" s="16"/>
      <c r="M58" s="75" t="s">
        <v>118</v>
      </c>
      <c r="N58" s="9" t="str" cm="1">
        <f t="array" ref="N58">Fertiliser_Equations_InorganicN2O.VEERG_5_1_1_2__2_EmissionFactorNonIrrigatedGrainsHighRainfall_Unit()</f>
        <v>kg N2O-N/kg N applied</v>
      </c>
    </row>
    <row r="59" spans="1:19" ht="20.100000000000001" customHeight="1" x14ac:dyDescent="0.2">
      <c r="D59" s="120" t="s">
        <v>766</v>
      </c>
      <c r="E59" s="120" t="s">
        <v>778</v>
      </c>
    </row>
    <row r="60" spans="1:19" ht="20.100000000000001" customHeight="1" x14ac:dyDescent="0.2">
      <c r="D60" s="15" t="str" cm="1">
        <f t="array" ref="D60:D78">Table_Fertiliser_ChemicalCompounds[Fertiliser type f]</f>
        <v>Monoammonium phosphate (MAP)</v>
      </c>
      <c r="E60" s="15" cm="1">
        <f t="array" ref="E60">Fertiliser_Equations_InorganicN2O.VEERG_5_1_1_1__1_InorganicFertiliserApplicationN2OEmissions(G19,$I$50,$I$51)</f>
        <v>0</v>
      </c>
      <c r="F60" s="16" t="str">
        <f>E47</f>
        <v>t N2O</v>
      </c>
      <c r="M60" s="126" t="str" cm="1">
        <f t="array" ref="M60:N61">_xlfn.CHOOSECOLS(Fertiliser_Equations_InorganicN2O.VEERG_5_1_1_2__2_EmissionFactorNonIrrigatedGrainsHighRainfall_Arguments(), 1, 2)</f>
        <v>N_fjNonIrrigatedGrains</v>
      </c>
      <c r="N60" s="129" t="str">
        <v>application rate of inorganic fertiliser type f in the grains crop</v>
      </c>
      <c r="O60" s="224"/>
      <c r="P60" s="126" t="str" cm="1">
        <f t="array" ref="P60:Q61">_xlfn.CHOOSECOLS(Fertiliser_Equations_InorganicN2O.VEERG_5_1_1_2__2_EmissionFactorNonIrrigatedGrainsHighRainfall_Arguments(), 3,4)</f>
        <v>kg N/ha</v>
      </c>
      <c r="Q60" s="114" t="str">
        <v>Input</v>
      </c>
      <c r="R60" s="122">
        <f>$N$35</f>
        <v>182.82499999999999</v>
      </c>
      <c r="S60" s="225"/>
    </row>
    <row r="61" spans="1:19" ht="20.100000000000001" customHeight="1" x14ac:dyDescent="0.2">
      <c r="D61" s="15" t="str">
        <v>Diammonium phosphate (DAP)</v>
      </c>
      <c r="E61" s="15" cm="1">
        <f t="array" ref="E61">Fertiliser_Equations_InorganicN2O.VEERG_5_1_1_1__1_InorganicFertiliserApplicationN2OEmissions(G20,$I$50,$I$51)</f>
        <v>0</v>
      </c>
      <c r="M61" s="126" t="str">
        <v>f</v>
      </c>
      <c r="N61" s="129" t="str">
        <v>Inorganic fertiliser type</v>
      </c>
      <c r="O61" s="224"/>
      <c r="P61" s="126" t="str">
        <v/>
      </c>
      <c r="Q61" s="115" t="str">
        <v>Constant</v>
      </c>
      <c r="R61" s="129" t="s">
        <v>774</v>
      </c>
      <c r="S61" s="223"/>
    </row>
    <row r="62" spans="1:19" ht="20.100000000000001" customHeight="1" x14ac:dyDescent="0.2">
      <c r="D62" s="15" t="str">
        <v>Urea</v>
      </c>
      <c r="E62" s="15" cm="1">
        <f t="array" ref="E62">Fertiliser_Equations_InorganicN2O.VEERG_5_1_1_1__1_InorganicFertiliserApplicationN2OEmissions(G21,$I$50,$I$51)</f>
        <v>0.12759999340000003</v>
      </c>
    </row>
    <row r="63" spans="1:19" ht="20.100000000000001" customHeight="1" x14ac:dyDescent="0.2">
      <c r="D63" s="15" t="str">
        <v>Sulphate of ammonia (SOA)</v>
      </c>
      <c r="E63" s="15" cm="1">
        <f t="array" ref="E63">Fertiliser_Equations_InorganicN2O.VEERG_5_1_1_1__1_InorganicFertiliserApplicationN2OEmissions(G22,$I$50,$I$51)</f>
        <v>0</v>
      </c>
      <c r="M63" s="75" t="s">
        <v>779</v>
      </c>
      <c r="N63" s="1" cm="1">
        <f t="array" ref="N63">Fertiliser_Equations_InorganicN2O.VEERG_5_1_1_2__2_EmissionFactorNonIrrigatedGrainsHighRainfall(R60)</f>
        <v>1.4492874999999999E-2</v>
      </c>
      <c r="O63" s="9" t="str">
        <f>N58</f>
        <v>kg N2O-N/kg N applied</v>
      </c>
    </row>
    <row r="64" spans="1:19" ht="20.100000000000001" customHeight="1" x14ac:dyDescent="0.2">
      <c r="D64" s="15" t="str">
        <v>Urea-ammonium nitrate (UAN)</v>
      </c>
      <c r="E64" s="15" cm="1">
        <f t="array" ref="E64">Fertiliser_Equations_InorganicN2O.VEERG_5_1_1_1__1_InorganicFertiliserApplicationN2OEmissions(G23,$I$50,$I$51)</f>
        <v>0</v>
      </c>
    </row>
    <row r="65" spans="1:20" ht="20.100000000000001" customHeight="1" x14ac:dyDescent="0.2">
      <c r="D65" s="15" t="str">
        <v>Ammonium nitrate (AN)</v>
      </c>
      <c r="E65" s="15" cm="1">
        <f t="array" ref="E65">Fertiliser_Equations_InorganicN2O.VEERG_5_1_1_1__1_InorganicFertiliserApplicationN2OEmissions(G24,$I$50,$I$51)</f>
        <v>0</v>
      </c>
    </row>
    <row r="66" spans="1:20" ht="20.100000000000001" customHeight="1" x14ac:dyDescent="0.2">
      <c r="D66" s="15" t="str">
        <v>Calcium ammonium nitrate (CAN)</v>
      </c>
      <c r="E66" s="15" cm="1">
        <f t="array" ref="E66">Fertiliser_Equations_InorganicN2O.VEERG_5_1_1_1__1_InorganicFertiliserApplicationN2OEmissions(G25,$I$50,$I$51)</f>
        <v>0</v>
      </c>
      <c r="M66" s="2" t="str" cm="1">
        <f t="array" ref="M66">Fertiliser_Equations_InorganicN2O.VEERG_5_1_1_2__3_EmissionFactorCotton_Title()</f>
        <v>Emission factor for nitrous oxide for cotton</v>
      </c>
    </row>
    <row r="67" spans="1:20" ht="20.100000000000001" customHeight="1" x14ac:dyDescent="0.2">
      <c r="D67" s="15" t="str">
        <v>Nitrogen - Ammoniacal</v>
      </c>
      <c r="E67" s="15" cm="1">
        <f t="array" ref="E67">Fertiliser_Equations_InorganicN2O.VEERG_5_1_1_1__1_InorganicFertiliserApplicationN2OEmissions(G26,$I$50,$I$51)</f>
        <v>1.3639999999999999E-2</v>
      </c>
      <c r="M67" s="17" t="str" cm="1">
        <f t="array" ref="M67">Fertiliser_Equations_InorganicN2O.VEERG_5_1_1_2__3_EmissionFactorCotton_Source()</f>
        <v>VEERG 2026: 5.1.1.2, Equation (3)</v>
      </c>
    </row>
    <row r="68" spans="1:20" ht="20.100000000000001" customHeight="1" x14ac:dyDescent="0.2">
      <c r="A68" s="79" t="str">
        <f>HYPERLINK("#A1", "▲ Back to top")</f>
        <v>▲ Back to top</v>
      </c>
      <c r="D68" s="15" t="str">
        <v>Nitrogen - Nitrate</v>
      </c>
      <c r="E68" s="15" cm="1">
        <f t="array" ref="E68">Fertiliser_Equations_InorganicN2O.VEERG_5_1_1_1__1_InorganicFertiliserApplicationN2OEmissions(G27,$I$50,$I$51)</f>
        <v>6.0499999999999998E-3</v>
      </c>
    </row>
    <row r="69" spans="1:20" ht="20.100000000000001" customHeight="1" x14ac:dyDescent="0.2">
      <c r="D69" s="15" t="str">
        <v>Nitrogen - Generic</v>
      </c>
      <c r="E69" s="15" cm="1">
        <f t="array" ref="E69">Fertiliser_Equations_InorganicN2O.VEERG_5_1_1_1__1_InorganicFertiliserApplicationN2OEmissions(G28,$I$50,$I$51)</f>
        <v>0</v>
      </c>
    </row>
    <row r="70" spans="1:20" ht="20.100000000000001" customHeight="1" x14ac:dyDescent="0.2">
      <c r="D70" s="15" t="str">
        <v>Phosphorus - Generic</v>
      </c>
      <c r="E70" s="15" cm="1">
        <f t="array" ref="E70">Fertiliser_Equations_InorganicN2O.VEERG_5_1_1_1__1_InorganicFertiliserApplicationN2OEmissions(G29,$I$50,$I$51)</f>
        <v>0</v>
      </c>
    </row>
    <row r="71" spans="1:20" ht="20.100000000000001" customHeight="1" x14ac:dyDescent="0.2">
      <c r="D71" s="15" t="str">
        <v>Potassium - Generic</v>
      </c>
      <c r="E71" s="15" cm="1">
        <f t="array" ref="E71">Fertiliser_Equations_InorganicN2O.VEERG_5_1_1_1__1_InorganicFertiliserApplicationN2OEmissions(G30,$I$50,$I$51)</f>
        <v>0</v>
      </c>
      <c r="M71" s="75" t="s">
        <v>329</v>
      </c>
      <c r="N71" s="1" t="str" cm="1">
        <f t="array" ref="N71">Fertiliser_Equations_InorganicN2O.VEERG_5_1_1_2__3_EmissionFactorCotton_Variable()</f>
        <v>EF_fjCottonN2O</v>
      </c>
    </row>
    <row r="72" spans="1:20" ht="20.100000000000001" customHeight="1" x14ac:dyDescent="0.2">
      <c r="D72" s="15" t="str">
        <v>Sulfur - Generic</v>
      </c>
      <c r="E72" s="15" cm="1">
        <f t="array" ref="E72">Fertiliser_Equations_InorganicN2O.VEERG_5_1_1_1__1_InorganicFertiliserApplicationN2OEmissions(G31,$I$50,$I$51)</f>
        <v>0</v>
      </c>
      <c r="M72" s="75" t="s">
        <v>118</v>
      </c>
      <c r="N72" s="9" t="str" cm="1">
        <f t="array" ref="N72">Fertiliser_Equations_InorganicN2O.VEERG_5_1_1_2__3_EmissionFactorCotton_Unit()</f>
        <v>kg N2O-N/kg N applied</v>
      </c>
    </row>
    <row r="73" spans="1:20" ht="20.100000000000001" customHeight="1" x14ac:dyDescent="0.2">
      <c r="D73" s="15" t="str">
        <v>Zinc - Generic</v>
      </c>
      <c r="E73" s="15" cm="1">
        <f t="array" ref="E73">Fertiliser_Equations_InorganicN2O.VEERG_5_1_1_1__1_InorganicFertiliserApplicationN2OEmissions(G32,$I$50,$I$51)</f>
        <v>0</v>
      </c>
    </row>
    <row r="74" spans="1:20" ht="20.100000000000001" customHeight="1" x14ac:dyDescent="0.2">
      <c r="D74" s="15" t="str">
        <v>Muriate of potash (MOP)</v>
      </c>
      <c r="E74" s="15" cm="1">
        <f t="array" ref="E74">Fertiliser_Equations_InorganicN2O.VEERG_5_1_1_1__1_InorganicFertiliserApplicationN2OEmissions(G33,$I$50,$I$51)</f>
        <v>0</v>
      </c>
      <c r="M74" s="221" t="s">
        <v>780</v>
      </c>
      <c r="N74" s="221"/>
      <c r="O74" s="221"/>
      <c r="P74" s="221"/>
      <c r="Q74" s="221"/>
      <c r="R74" s="221"/>
      <c r="S74" s="221"/>
      <c r="T74" s="221"/>
    </row>
    <row r="75" spans="1:20" ht="20.100000000000001" customHeight="1" x14ac:dyDescent="0.2">
      <c r="D75" s="15" t="str">
        <v>Double superphosphate</v>
      </c>
      <c r="E75" s="15" cm="1">
        <f t="array" ref="E75">Fertiliser_Equations_InorganicN2O.VEERG_5_1_1_1__1_InorganicFertiliserApplicationN2OEmissions(G34,$I$50,$I$51)</f>
        <v>0</v>
      </c>
    </row>
    <row r="76" spans="1:20" ht="20.100000000000001" customHeight="1" x14ac:dyDescent="0.2">
      <c r="D76" s="15" t="str">
        <v>Single superphosphate (SSP)</v>
      </c>
      <c r="E76" s="15" cm="1">
        <f t="array" ref="E76">Fertiliser_Equations_InorganicN2O.VEERG_5_1_1_1__1_InorganicFertiliserApplicationN2OEmissions(G35,$I$50,$I$51)</f>
        <v>0</v>
      </c>
      <c r="M76" s="126" t="str" cm="1">
        <f t="array" ref="M76:N77">_xlfn.CHOOSECOLS(Fertiliser_Equations_InorganicN2O.VEERG_5_1_1_2__3_EmissionFactorCotton_Arguments(), 1, 2)</f>
        <v>N_fjCotton</v>
      </c>
      <c r="N76" s="129" t="str">
        <v>application rate of inorganic fertiliser type f in the cotton crop</v>
      </c>
      <c r="O76" s="224"/>
      <c r="P76" s="129" t="str" cm="1">
        <f t="array" ref="P76:Q77">_xlfn.CHOOSECOLS(Fertiliser_Equations_InorganicN2O.VEERG_5_1_1_2__3_EmissionFactorCotton_Arguments(), 3,4)</f>
        <v>kg N/ha</v>
      </c>
      <c r="Q76" s="114" t="str">
        <v>Input</v>
      </c>
      <c r="R76" s="122">
        <f>MIN(300, $N$35)</f>
        <v>182.82499999999999</v>
      </c>
      <c r="S76" s="225"/>
    </row>
    <row r="77" spans="1:20" ht="20.100000000000001" customHeight="1" x14ac:dyDescent="0.2">
      <c r="D77" s="15" t="str">
        <v>Ammonia</v>
      </c>
      <c r="E77" s="15" cm="1">
        <f t="array" ref="E77">Fertiliser_Equations_InorganicN2O.VEERG_5_1_1_1__1_InorganicFertiliserApplicationN2OEmissions(G36,$I$50,$I$51)</f>
        <v>4.5292500000000006E-2</v>
      </c>
      <c r="M77" s="126" t="str">
        <v>f</v>
      </c>
      <c r="N77" s="129" t="str">
        <v>Inorganic fertiliser type</v>
      </c>
      <c r="O77" s="224"/>
      <c r="P77" s="129" t="str">
        <v/>
      </c>
      <c r="Q77" s="115" t="str">
        <v>Constant</v>
      </c>
      <c r="R77" s="129" t="s">
        <v>774</v>
      </c>
      <c r="S77" s="223"/>
    </row>
    <row r="78" spans="1:20" ht="20.100000000000001" customHeight="1" x14ac:dyDescent="0.2">
      <c r="D78" s="15" t="str">
        <v>Calcium nitrate</v>
      </c>
      <c r="E78" s="15" cm="1">
        <f t="array" ref="E78">Fertiliser_Equations_InorganicN2O.VEERG_5_1_1_1__1_InorganicFertiliserApplicationN2OEmissions(G37,$I$50,$I$51)</f>
        <v>8.5250000000000013E-3</v>
      </c>
    </row>
    <row r="79" spans="1:20" ht="20.100000000000001" customHeight="1" x14ac:dyDescent="0.2">
      <c r="M79" s="75" t="s">
        <v>779</v>
      </c>
      <c r="N79" s="1" cm="1">
        <f t="array" ref="N79">Fertiliser_Equations_InorganicN2O.VEERG_5_1_1_2__3_EmissionFactorCotton(R76)</f>
        <v>3.231403335233797E-5</v>
      </c>
      <c r="O79" s="9" t="str">
        <f>N72</f>
        <v>kg N2O-N/kg N applied</v>
      </c>
    </row>
    <row r="80" spans="1:20" ht="20.100000000000001" customHeight="1" x14ac:dyDescent="0.2">
      <c r="D80" s="85" t="s">
        <v>781</v>
      </c>
      <c r="E80" s="86">
        <f>SUM(E60:E78)</f>
        <v>0.20110749340000006</v>
      </c>
      <c r="F80" s="95" t="str">
        <f>$E$47</f>
        <v>t N2O</v>
      </c>
    </row>
    <row r="82" spans="4:24" ht="20.100000000000001" customHeight="1" x14ac:dyDescent="0.2">
      <c r="D82" s="126" t="str" cm="1">
        <f t="array" ref="D82:E83">Common_Equations.Common_ConvertN2OToCO2e_Arguments()</f>
        <v>EN2O</v>
      </c>
      <c r="E82" s="129" t="str">
        <v>Nitrous oxide emissions (t N2O)</v>
      </c>
      <c r="F82" s="130"/>
      <c r="G82" s="15">
        <f>VEERG_5_1_1_1__1_InorganicFertiliserApplicationN2OEmissions_Result_Method1</f>
        <v>0.20110749340000006</v>
      </c>
      <c r="L82" s="83"/>
      <c r="M82" s="83"/>
      <c r="N82" s="83"/>
      <c r="O82" s="83"/>
      <c r="P82" s="83"/>
      <c r="Q82" s="83"/>
      <c r="R82" s="83"/>
      <c r="S82" s="83"/>
      <c r="T82" s="83"/>
      <c r="U82" s="83"/>
      <c r="V82" s="83"/>
      <c r="W82" s="83"/>
      <c r="X82" s="83"/>
    </row>
    <row r="83" spans="4:24" ht="20.100000000000001" customHeight="1" x14ac:dyDescent="0.2">
      <c r="D83" s="126" t="str">
        <v>GWPN2O</v>
      </c>
      <c r="E83" s="129" t="str">
        <v>Global warming potential for nitrous oxide (t CO2-e / t N2O)</v>
      </c>
      <c r="F83" s="130"/>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
      <c r="M84" s="17" t="str" cm="1">
        <f t="array" ref="M84">Fertiliser_Equations_InorganicN2O.VEERG_5_1_1_1__1_InorganicFertiliserApplicationN2OEmissions_Source()</f>
        <v>VEERG 2026: 5.1.1.1, Equation (1)</v>
      </c>
    </row>
    <row r="85" spans="4:24" ht="20.100000000000001" customHeight="1" x14ac:dyDescent="0.2">
      <c r="D85" s="83" t="s">
        <v>377</v>
      </c>
      <c r="E85" s="83" cm="1">
        <f t="array" ref="E85">Common_Equations.Common_ConvertN2OToCO2e(G82,G83)</f>
        <v>53.293485751000013</v>
      </c>
      <c r="F85" s="89" t="str" cm="1">
        <f t="array" ref="F85">Common_Equations.Common_ConvertN2OToCO2e_Unit()</f>
        <v>t CO2e</v>
      </c>
      <c r="M85" s="112" t="s">
        <v>328</v>
      </c>
      <c r="N85" s="112" t="str" cm="1">
        <f t="array" aca="1" ref="N85" ca="1">Common_InputFunctions.Utility_DisplayFunctionName($E$60)</f>
        <v>=Fertiliser_Equations_InorganicN2O.VEERG_5_1_1_1__1_InorganicFertiliserApplicationN2OEmissions</v>
      </c>
    </row>
    <row r="89" spans="4:24" ht="20.100000000000001" customHeight="1" x14ac:dyDescent="0.2">
      <c r="M89" s="75" t="s">
        <v>329</v>
      </c>
      <c r="N89" s="1" t="str" cm="1">
        <f t="array" ref="N89">Fertiliser_Equations_InorganicN2O.VEERG_5_1_1_1__1_InorganicFertiliserApplicationN2OEmissions_Variable()</f>
        <v>E_N2O</v>
      </c>
    </row>
    <row r="90" spans="4:24" ht="20.100000000000001" customHeight="1" x14ac:dyDescent="0.2">
      <c r="M90" s="75" t="s">
        <v>118</v>
      </c>
      <c r="N90" s="9" t="str" cm="1">
        <f t="array" ref="N90">Fertiliser_Equations_InorganicN2O.VEERG_5_1_1_1__1_InorganicFertiliserApplicationN2OEmissions_Unit()</f>
        <v>t N2O</v>
      </c>
    </row>
    <row r="92" spans="4:24" ht="20.100000000000001" customHeight="1" x14ac:dyDescent="0.2">
      <c r="M92" s="126" t="str" cm="1">
        <f t="array" ref="M92:N99">_xlfn.CHOOSECOLS(Fertiliser_Equations_InorganicN2O.VEERG_5_1_1_1__1_InorganicFertiliserApplicationN2OEmissions_Arguments_Method2(), 1, 2)</f>
        <v>MN_jf</v>
      </c>
      <c r="N92" s="129" t="str">
        <v>mass of nitrogen in inorganic fertiliser type f applied to production system j</v>
      </c>
      <c r="O92" s="224"/>
      <c r="P92" s="223"/>
      <c r="Q92" s="126" t="str" cm="1">
        <f t="array" ref="Q92:R99">_xlfn.CHOOSECOLS(Fertiliser_Equations_InorganicN2O.VEERG_5_1_1_1__1_InorganicFertiliserApplicationN2OEmissions_Arguments_Method2(), 3,4)</f>
        <v>kg N</v>
      </c>
      <c r="R92" s="115" t="str">
        <v>Calculated from 5.1.1.1 (2)</v>
      </c>
      <c r="S92" s="113">
        <f>N33</f>
        <v>18282.5</v>
      </c>
    </row>
    <row r="93" spans="4:24" ht="20.100000000000001" customHeight="1" x14ac:dyDescent="0.2">
      <c r="M93" s="126" t="str">
        <v>EF_jN2O</v>
      </c>
      <c r="N93" s="129" t="str">
        <v>emission factor for nitrous oxide for inorganic fertilisers</v>
      </c>
      <c r="O93" s="224"/>
      <c r="P93" s="223"/>
      <c r="Q93" s="126" t="str">
        <v>kg N2O-N/kg N applied</v>
      </c>
      <c r="R93" s="115" t="str">
        <v>Calculated from 5.1.1.2 (1)(2)(3)</v>
      </c>
      <c r="S93" s="113">
        <f>_xlfn.XLOOKUP(TRUE,N105:N108,O105:O108)</f>
        <v>9.6783250000000015E-3</v>
      </c>
    </row>
    <row r="94" spans="4:24" ht="20.100000000000001" customHeight="1" x14ac:dyDescent="0.2">
      <c r="M94" s="126" t="str">
        <v>C_N2O</v>
      </c>
      <c r="N94" s="129" t="str">
        <v>factor to convert elemental mass of nitrous oxide to molecular mass</v>
      </c>
      <c r="O94" s="224"/>
      <c r="P94" s="223"/>
      <c r="Q94" s="126" t="str">
        <v/>
      </c>
      <c r="R94" s="115" t="str">
        <v>Constant</v>
      </c>
      <c r="S94" s="126">
        <f>Common_InputFunctions.Utility_LookupValueInTableNumber("N2O",Table_GasToMolecularConversionFactor[Gas],Table_GasToMolecularConversionFactor[Conversion factor combined])</f>
        <v>1.5714285714285714</v>
      </c>
    </row>
    <row r="95" spans="4:24" ht="20.100000000000001" customHeight="1" x14ac:dyDescent="0.2">
      <c r="M95" s="126" t="str">
        <v>j</v>
      </c>
      <c r="N95" s="129" t="str">
        <v>Production system</v>
      </c>
      <c r="O95" s="224"/>
      <c r="P95" s="223"/>
      <c r="Q95" s="126" t="str">
        <v/>
      </c>
      <c r="R95" s="114" t="str">
        <v>Input</v>
      </c>
      <c r="S95" s="126" t="str">
        <f>X_Cell_Fertiliser_ProductionSystem</f>
        <v>Crop</v>
      </c>
    </row>
    <row r="96" spans="4:24" ht="20.100000000000001" customHeight="1" x14ac:dyDescent="0.2">
      <c r="M96" s="126" t="str">
        <v>c</v>
      </c>
      <c r="N96" s="129" t="str">
        <v>Crop type</v>
      </c>
      <c r="O96" s="224"/>
      <c r="P96" s="223"/>
      <c r="Q96" s="126" t="str">
        <v/>
      </c>
      <c r="R96" s="114" t="str">
        <v>Input</v>
      </c>
      <c r="S96" s="126" t="str">
        <f>X_Cell_Fertiliser_CropType</f>
        <v>Maize</v>
      </c>
    </row>
    <row r="97" spans="1:19" ht="20.100000000000001" customHeight="1" x14ac:dyDescent="0.2">
      <c r="M97" s="126" t="str">
        <v>f</v>
      </c>
      <c r="N97" s="129" t="str">
        <v>Inorganic fertiliser type</v>
      </c>
      <c r="O97" s="224"/>
      <c r="P97" s="223"/>
      <c r="Q97" s="126" t="str">
        <v/>
      </c>
      <c r="R97" s="115" t="str">
        <v>Constant</v>
      </c>
      <c r="S97" s="126" t="s">
        <v>782</v>
      </c>
    </row>
    <row r="98" spans="1:19" ht="20.100000000000001" customHeight="1" x14ac:dyDescent="0.2">
      <c r="A98" s="79" t="str">
        <f>HYPERLINK("#A1", "▲ Back to top")</f>
        <v>▲ Back to top</v>
      </c>
      <c r="M98" s="126" t="str">
        <v>ir</v>
      </c>
      <c r="N98" s="129" t="str">
        <v>irrigation method</v>
      </c>
      <c r="O98" s="224"/>
      <c r="P98" s="223"/>
      <c r="Q98" s="126" t="str">
        <v/>
      </c>
      <c r="R98" s="114" t="str">
        <v>Input</v>
      </c>
      <c r="S98" s="126" t="str">
        <f>X_Cell_Fertiliser_IrrigationMethod</f>
        <v>Drip irrigation</v>
      </c>
    </row>
    <row r="99" spans="1:19" ht="20.100000000000001" customHeight="1" x14ac:dyDescent="0.2">
      <c r="M99" s="129" t="str">
        <v>z</v>
      </c>
      <c r="N99" s="129" t="str">
        <v>rainfall zone</v>
      </c>
      <c r="O99" s="224"/>
      <c r="P99" s="224"/>
      <c r="Q99" s="126" t="str">
        <v/>
      </c>
      <c r="R99" s="114" t="str">
        <v>Input</v>
      </c>
      <c r="S99" s="126" t="str">
        <f>X_Cell_Site_RainfallZone</f>
        <v>High rainfall</v>
      </c>
    </row>
    <row r="102" spans="1:19" ht="20.100000000000001" customHeight="1" x14ac:dyDescent="0.2">
      <c r="M102" s="118" t="s">
        <v>783</v>
      </c>
    </row>
    <row r="103" spans="1:19" ht="20.100000000000001" customHeight="1" x14ac:dyDescent="0.2">
      <c r="M103" s="119" t="s">
        <v>784</v>
      </c>
    </row>
    <row r="104" spans="1:19" ht="20.100000000000001" customHeight="1" x14ac:dyDescent="0.2">
      <c r="M104" s="120" t="s">
        <v>311</v>
      </c>
      <c r="N104" s="120" t="s">
        <v>785</v>
      </c>
      <c r="O104" s="120" t="s">
        <v>786</v>
      </c>
    </row>
    <row r="105" spans="1:19" ht="20.100000000000001" customHeight="1" x14ac:dyDescent="0.2">
      <c r="M105" s="15" t="s">
        <v>787</v>
      </c>
      <c r="N105" s="15" t="b">
        <f>IF(AND(S96="Maize", NOT(S98="Not irrigated")), TRUE)</f>
        <v>1</v>
      </c>
      <c r="O105" s="15">
        <f>N49</f>
        <v>9.6783250000000015E-3</v>
      </c>
    </row>
    <row r="106" spans="1:19" ht="20.100000000000001" customHeight="1" x14ac:dyDescent="0.2">
      <c r="M106" s="15" t="s">
        <v>788</v>
      </c>
      <c r="N106" s="15" t="b">
        <f>IF(AND(S96="Grains", S98="Not irrigated", S99="High rainfall"), TRUE)</f>
        <v>0</v>
      </c>
      <c r="O106" s="15">
        <f>N63</f>
        <v>1.4492874999999999E-2</v>
      </c>
    </row>
    <row r="107" spans="1:19" ht="20.100000000000001" customHeight="1" x14ac:dyDescent="0.2">
      <c r="M107" s="15" t="s">
        <v>789</v>
      </c>
      <c r="N107" s="15" t="b">
        <f>IF(S96="Cotton", TRUE)</f>
        <v>0</v>
      </c>
      <c r="O107" s="226">
        <f>N79</f>
        <v>3.231403335233797E-5</v>
      </c>
    </row>
    <row r="108" spans="1:19" ht="20.100000000000001" customHeight="1" x14ac:dyDescent="0.2">
      <c r="M108" s="15" t="s">
        <v>790</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19" ht="20.100000000000001" customHeight="1" x14ac:dyDescent="0.2">
      <c r="M110" s="85" t="s">
        <v>781</v>
      </c>
      <c r="N110" s="86" cm="1">
        <f t="array" ref="N110">Fertiliser_Equations_InorganicN2O.VEERG_5_1_1_1__1_InorganicFertiliserApplicationN2OEmissions(S92,S93,$S$94)</f>
        <v>0.2780548207053572</v>
      </c>
      <c r="O110" s="95" t="str">
        <f>$E$47</f>
        <v>t N2O</v>
      </c>
    </row>
    <row r="112" spans="1:19" ht="20.100000000000001" customHeight="1" x14ac:dyDescent="0.2">
      <c r="M112" s="126" t="str" cm="1">
        <f t="array" ref="M112:N113">Common_Equations.Common_ConvertN2OToCO2e_Arguments()</f>
        <v>EN2O</v>
      </c>
      <c r="N112" s="129" t="str">
        <v>Nitrous oxide emissions (t N2O)</v>
      </c>
      <c r="O112" s="130"/>
      <c r="P112" s="15">
        <f>VEERG_5_1_1_1__1_InorganicFertiliserApplicationN2OEmissions_Result_Method2</f>
        <v>0.2780548207053572</v>
      </c>
    </row>
    <row r="113" spans="13:16" ht="20.100000000000001" customHeight="1" x14ac:dyDescent="0.2">
      <c r="M113" s="126" t="str">
        <v>GWPN2O</v>
      </c>
      <c r="N113" s="129" t="str">
        <v>Global warming potential for nitrous oxide (t CO2-e / t N2O)</v>
      </c>
      <c r="O113" s="130"/>
      <c r="P113" s="15">
        <f>Common_InputFunctions.Utility_LookupValueInTableNumber("N2O",Table_GWPData[Gas],Table_GWPData[CO2-e factor])</f>
        <v>265</v>
      </c>
    </row>
    <row r="115" spans="13:16" ht="20.100000000000001" customHeight="1" x14ac:dyDescent="0.2">
      <c r="M115" s="83" t="s">
        <v>377</v>
      </c>
      <c r="N115" s="83" cm="1">
        <f t="array" ref="N115">Common_Equations.Common_ConvertN2OToCO2e(P112,P113)</f>
        <v>73.684527486919663</v>
      </c>
      <c r="O115" s="89"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20A9B732-D393-406C-AA59-057B18645EBF}"/>
  </dataValidation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8D3DD-AF8A-4A50-AD78-DC19F77599B1}">
  <sheetPr>
    <tabColor rgb="FF008000"/>
  </sheetPr>
  <dimension ref="A1:U78"/>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791</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
      <c r="D6" s="17" t="str" cm="1">
        <f t="array" ref="D6">Fertiliser_Equations_InorganicCO2.VEERG_5_1_1_3__2_MassOfUreaInInorganicFertiliser_Source()</f>
        <v>VEERG 2026: 5.1.1.3, Equation (2)</v>
      </c>
    </row>
    <row r="7" spans="1:21" ht="20.100000000000001" customHeight="1" x14ac:dyDescent="0.2">
      <c r="D7" s="112" t="s">
        <v>328</v>
      </c>
      <c r="E7" s="112" t="str" cm="1">
        <f t="array" aca="1" ref="E7" ca="1">Common_InputFunctions.Utility_DisplayFunctionName(G19)</f>
        <v>=Fertiliser_Equations_InorganicCO2.VEERG_5_1_1_3__2_MassOfUreaInInorganicFertiliser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Fertiliser_Equations_InorganicCO2.VEERG_5_1_1_3__2_MassOfUreaInInorganicFertiliser_Variable()</f>
        <v>MU_jf</v>
      </c>
    </row>
    <row r="11" spans="1:21" ht="20.100000000000001" customHeight="1" x14ac:dyDescent="0.2">
      <c r="A11" s="5" t="str">
        <f>HYPERLINK("#'Input - Poultry'!A1", "Poultry")</f>
        <v>Poultry</v>
      </c>
      <c r="D11" s="75" t="s">
        <v>118</v>
      </c>
      <c r="E11" s="9" t="str" cm="1">
        <f t="array" ref="E11">Fertiliser_Equations_InorganicCO2.VEERG_5_1_1_3__2_MassOfUreaInInorganicFertiliser_Unit()</f>
        <v>kg urea</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26" t="str" cm="1">
        <f t="array" ref="D13:E14">_xlfn.CHOOSECOLS(Fertiliser_Equations_InorganicCO2.VEERG_5_1_1_3__2_MassOfUreaInInorganicFertiliser_Arguments(), 1, 2)</f>
        <v>TM_jf</v>
      </c>
      <c r="E13" s="129" t="str">
        <v>total mass of inorganic fertiliser type f applied to production system j</v>
      </c>
      <c r="F13" s="223"/>
      <c r="G13" s="126" t="str" cm="1">
        <f t="array" ref="G13:H14">_xlfn.CHOOSECOLS(Fertiliser_Equations_InorganicCO2.VEERG_5_1_1_3__2_MassOfUreaInInorganicFertiliser_Arguments(), 3, 4)</f>
        <v>kg</v>
      </c>
      <c r="H13" s="114" t="str">
        <v>Input</v>
      </c>
      <c r="I13" s="116" t="str" cm="1">
        <f t="array" aca="1" ref="I13" ca="1">HYPERLINK(Common_InputFunctions.Utility_SourceHyperlink($D$16), $D$16)</f>
        <v>Table_MU_j_f</v>
      </c>
    </row>
    <row r="14" spans="1:21" ht="20.100000000000001" customHeight="1" x14ac:dyDescent="0.2">
      <c r="A14" s="5" t="str">
        <f>HYPERLINK("#'Input - Fuel'!A1", "Fuel")</f>
        <v>Fuel</v>
      </c>
      <c r="D14" s="126" t="str">
        <v>FU_f</v>
      </c>
      <c r="E14" s="129" t="str">
        <v>fraction of urea in fertiliser type f</v>
      </c>
      <c r="F14" s="223"/>
      <c r="G14" s="126" t="str">
        <v>kg urea/kg</v>
      </c>
      <c r="H14" s="115" t="str">
        <v>Lookup</v>
      </c>
      <c r="I14" s="116"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8" t="s">
        <v>792</v>
      </c>
    </row>
    <row r="17" spans="1:7" ht="20.100000000000001" customHeight="1" x14ac:dyDescent="0.2">
      <c r="A17" s="5" t="str">
        <f>HYPERLINK("#'Input - Livestock farm Inputs'!A1", "Livestock farm Inputs")</f>
        <v>Livestock farm Inputs</v>
      </c>
      <c r="D17" s="119" t="s">
        <v>793</v>
      </c>
    </row>
    <row r="18" spans="1:7" ht="20.100000000000001" customHeight="1" x14ac:dyDescent="0.2">
      <c r="A18" s="5" t="str">
        <f>HYPERLINK("#'Input - Freight'!A1", "Freight")</f>
        <v>Freight</v>
      </c>
      <c r="D18" s="120" t="s">
        <v>766</v>
      </c>
      <c r="E18" s="78" t="s">
        <v>767</v>
      </c>
      <c r="F18" s="120" t="s">
        <v>794</v>
      </c>
      <c r="G18" s="120" t="s">
        <v>795</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25217.39</v>
      </c>
    </row>
    <row r="22" spans="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
      <c r="A27" s="5" t="str">
        <f>HYPERLINK("#'4.6.1.1-2 Methane'!A1", "4.6.1.1-2 Manure Methane")</f>
        <v>4.6.1.1-2 Manure Methane</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
      <c r="A28" s="5" t="str">
        <f>HYPERLINK("#'4.6.1.3-4 Direct N20'!A1", "4.6.1.3-4 Manure Direct N2O")</f>
        <v>4.6.1.3-4 Manure Direct N2O</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
      <c r="A29" s="5" t="str">
        <f>HYPERLINK("#'4.6.1.5-6 Atmos Dep'!A1", "4.6.1.5-6 Manure Atmos Dep")</f>
        <v>4.6.1.5-6 Manure Atmos Dep</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
      <c r="A30" s="5" t="str">
        <f>HYPERLINK("#'4.6.1.7-8 Leaching and runoff'!A1", "4.6.1.7-8 Manure Leaching and runoff")</f>
        <v>4.6.1.7-8 Manure Leaching and runoff</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
      <c r="A31" s="5" t="str">
        <f>HYPERLINK("#'4.6.1.9 Manure applied to soils'!A1", "4.6.1.9 Manure applied to soils")</f>
        <v>4.6.1.9 Manure applied to soils</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
      <c r="A32" s="5" t="str">
        <f>HYPERLINK("#'4.6.1.10-11 Soil direct N2O'!A1", "4.6.1.10-11 Soil direct N2O")</f>
        <v>4.6.1.10-11 Soil direct N2O</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
      <c r="A33" s="5" t="str">
        <f>HYPERLINK("#'4.6.1.12-13 Soil atmos dep'!A1", "4.6.1.12-13 Soil atmos dep")</f>
        <v>4.6.1.12-13 Soil atmos dep</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
      <c r="A34" s="5" t="str">
        <f>HYPERLINK("#'4.6.1.14-15 Soil leach runoff'!A1", "4.6.1.14-15 Soil leach runoff")</f>
        <v>4.6.1.14-15 Soil leach runoff</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
      <c r="A35" s="5" t="str">
        <f>HYPERLINK("#'8.1.1.1-2 Transport fuel'!A1", "8.1.1.1-2 Transport fuel")</f>
        <v>8.1.1.1-2 Transport fuel</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
      <c r="A36" s="5" t="str">
        <f>HYPERLINK("#'8.2.1.1-2 Stationary fuel'!A1", "8.2.1.1-2 Stationary fuel")</f>
        <v>8.2.1.1-2 Stationary fuel</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
      <c r="A37" s="5" t="str">
        <f>HYPERLINK("#'10.1.1-2 Solid waste treatment'!A1", "10.1.1.1-2 Solid waste")</f>
        <v>10.1.1.1-2 Solid waste</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
      <c r="A38" s="5" t="str">
        <f>HYPERLINK("#'14.1.1-2 Purchased electricity'!A1", "14.1.1-2 Purchased electricity")</f>
        <v>14.1.1-2 Purchased electricity</v>
      </c>
    </row>
    <row r="39" spans="1:12" ht="20.100000000000001" customHeight="1" x14ac:dyDescent="0.2">
      <c r="A39" s="5" t="str">
        <f>HYPERLINK("#'15 Scope 3'!A1", "15 Scope 3")</f>
        <v>15 Scope 3</v>
      </c>
    </row>
    <row r="40" spans="1:12" ht="20.100000000000001" customHeight="1" x14ac:dyDescent="0.2">
      <c r="A40" s="5" t="str">
        <f>HYPERLINK("#'Calcs - Manure sent off-site'!A1", "Calcs - Manure sent off-site")</f>
        <v>Calcs - Manure sent off-site</v>
      </c>
      <c r="C40" s="83"/>
      <c r="D40" s="83"/>
      <c r="E40" s="83"/>
      <c r="F40" s="83"/>
      <c r="G40" s="83"/>
      <c r="H40" s="83"/>
      <c r="I40" s="83"/>
      <c r="J40" s="83"/>
      <c r="K40" s="83"/>
      <c r="L40" s="83"/>
    </row>
    <row r="41" spans="1:12" ht="20.100000000000001" customHeight="1" x14ac:dyDescent="0.2">
      <c r="A41" s="5" t="str">
        <f>HYPERLINK("#'5.1.1.1-2 Inorganic fert N2O'!A1", "5.1.1.1-2 Inorganic fert N2O")</f>
        <v>5.1.1.1-2 Inorganic fert N2O</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
      <c r="A42" s="117" t="str">
        <f>HYPERLINK("#'5.1.1.3-4 Inorganic fert CO2'!A1", "5.1.1.3-4 Inorganic fert CO2")</f>
        <v>5.1.1.3-4 Inorganic fert CO2</v>
      </c>
      <c r="D42" s="17" t="str" cm="1">
        <f t="array" ref="D42">Fertiliser_Equations_InorganicCO2.VEERG_5_1_1_3__1_InorganicFertiliserApplicationCO2Emissions_Source()</f>
        <v>VEERG 2026: 5.1.1.3, Equation (1)</v>
      </c>
    </row>
    <row r="43" spans="1:12" ht="20.100000000000001" customHeight="1" x14ac:dyDescent="0.2">
      <c r="A43" s="5" t="str">
        <f>HYPERLINK("#'5.2.1.1-2 Organic Fert N2O'!A1", "5.2.1.1-2 Organic Fert N2O")</f>
        <v>5.2.1.1-2 Organic Fert N2O</v>
      </c>
      <c r="D43" s="112" t="s">
        <v>328</v>
      </c>
      <c r="E43" s="112" t="str" cm="1">
        <f t="array" aca="1" ref="E43" ca="1">Common_InputFunctions.Utility_DisplayFunctionName(E58)</f>
        <v>=Fertiliser_Equations_InorganicCO2.VEERG_5_1_1_3__1_InorganicFertiliserApplicationCO2Emissions</v>
      </c>
    </row>
    <row r="44" spans="1:12" ht="20.100000000000001" customHeight="1" x14ac:dyDescent="0.2">
      <c r="A44" s="5" t="str">
        <f>HYPERLINK("#'5.3.1.1-2 Lime CO2'!A1", "5.3.1.1-2 Lime CO2")</f>
        <v>5.3.1.1-2 Lime CO2</v>
      </c>
    </row>
    <row r="45" spans="1:12" ht="20.100000000000001" customHeight="1" x14ac:dyDescent="0.2">
      <c r="A45" s="5" t="str">
        <f>HYPERLINK("#'5.4.1.1-4 Atmos deposition'!A1", "5.4.1.1-4 Atmos deposition")</f>
        <v>5.4.1.1-4 Atmos deposition</v>
      </c>
    </row>
    <row r="46" spans="1:12" ht="20.100000000000001" customHeight="1" x14ac:dyDescent="0.2">
      <c r="A46" s="5" t="str">
        <f>HYPERLINK("#'5.5.1.1-2 Leaching and runoff'!A1", "5.5.1.1-2 Leaching and runoff")</f>
        <v>5.5.1.1-2 Leaching and runoff</v>
      </c>
      <c r="D46" s="75" t="s">
        <v>329</v>
      </c>
      <c r="E46" s="1" t="str" cm="1">
        <f t="array" ref="E46">Fertiliser_Equations_InorganicCO2.VEERG_5_1_1_3__1_InorganicFertiliserApplicationCO2Emissions_Variable()</f>
        <v>E_CO2</v>
      </c>
    </row>
    <row r="47" spans="1:12" ht="20.100000000000001" customHeight="1" x14ac:dyDescent="0.2">
      <c r="D47" s="75" t="s">
        <v>118</v>
      </c>
      <c r="E47" s="9" t="str" cm="1">
        <f t="array" ref="E47">Fertiliser_Equations_InorganicCO2.VEERG_5_1_1_3__1_InorganicFertiliserApplicationCO2Emissions_Unit()</f>
        <v>t CO2</v>
      </c>
    </row>
    <row r="49" spans="1:9" ht="20.100000000000001" customHeight="1" x14ac:dyDescent="0.2">
      <c r="A49" s="80" t="s">
        <v>1</v>
      </c>
      <c r="D49" s="126" t="str" cm="1">
        <f t="array" ref="D49:E53">_xlfn.CHOOSECOLS(Fertiliser_Equations_InorganicCO2.VEERG_5_1_1_3__1_InorganicFertiliserApplicationCO2Emissions_Arguments(), 1, 2)</f>
        <v>MU_jf</v>
      </c>
      <c r="E49" s="129" t="str">
        <v>mass of urea of inorganic fertiliser type f applied to production system j</v>
      </c>
      <c r="F49" s="223"/>
      <c r="G49" s="126" t="str" cm="1">
        <f t="array" ref="G49:H53">_xlfn.CHOOSECOLS(Fertiliser_Equations_InorganicCO2.VEERG_5_1_1_3__1_InorganicFertiliserApplicationCO2Emissions_Arguments(), 3,4)</f>
        <v>kg urea</v>
      </c>
      <c r="H49" s="115" t="str">
        <v>Calculated</v>
      </c>
      <c r="I49" s="116" t="str" cm="1">
        <f t="array" aca="1" ref="I49" ca="1">HYPERLINK(Common_InputFunctions.Utility_SourceHyperlink($D$16), $D$16)</f>
        <v>Table_MU_j_f</v>
      </c>
    </row>
    <row r="50" spans="1:9" ht="20.100000000000001" customHeight="1" x14ac:dyDescent="0.2">
      <c r="A50" s="5" t="str">
        <f>HYPERLINK("#'Constants - Poultry'!A1", "Constants - Poultry")</f>
        <v>Constants - Poultry</v>
      </c>
      <c r="D50" s="126" t="str">
        <v>EF_ureaCO2</v>
      </c>
      <c r="E50" s="129" t="str">
        <v>emission factor for carbon emissions from urea-based fertilisers</v>
      </c>
      <c r="F50" s="223"/>
      <c r="G50" s="126" t="str">
        <v>kg C/kg urea</v>
      </c>
      <c r="H50" s="115" t="str">
        <v>Constant</v>
      </c>
      <c r="I50" s="126">
        <f>Fertiliser_EFUreaCO2_Data</f>
        <v>0.2</v>
      </c>
    </row>
    <row r="51" spans="1:9" ht="20.100000000000001" customHeight="1" x14ac:dyDescent="0.2">
      <c r="A51" s="5" t="str">
        <f>HYPERLINK("#'Constants - Common livestock'!A1", "Constants - Common Livestock")</f>
        <v>Constants - Common Livestock</v>
      </c>
      <c r="D51" s="126" t="str">
        <v>C_CO2</v>
      </c>
      <c r="E51" s="129" t="str">
        <v>factor to convert elemental mass of carbon to molecular mass of carbon dioxide</v>
      </c>
      <c r="F51" s="223"/>
      <c r="G51" s="126" t="str">
        <v/>
      </c>
      <c r="H51" s="115" t="str">
        <v>Constant</v>
      </c>
      <c r="I51" s="126">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Electricity'!A1", "Constants - Electricity")</f>
        <v>Constants - Electricity</v>
      </c>
      <c r="D52" s="126" t="str">
        <v>j</v>
      </c>
      <c r="E52" s="129" t="str">
        <v>Production system</v>
      </c>
      <c r="F52" s="223"/>
      <c r="G52" s="126" t="str">
        <v/>
      </c>
      <c r="H52" s="114" t="str">
        <v>Input</v>
      </c>
      <c r="I52" s="126" t="str">
        <f>X_Cell_Fertiliser_ProductionSystem</f>
        <v>Crop</v>
      </c>
    </row>
    <row r="53" spans="1:9" ht="20.100000000000001" customHeight="1" x14ac:dyDescent="0.2">
      <c r="A53" s="5" t="str">
        <f>HYPERLINK("#'Constants - Fertiliser'!A1", "Constants - Fertiliser")</f>
        <v>Constants - Fertiliser</v>
      </c>
      <c r="D53" s="126" t="str">
        <v>f</v>
      </c>
      <c r="E53" s="129" t="str">
        <v>Inorganic fertiliser type</v>
      </c>
      <c r="F53" s="223"/>
      <c r="G53" s="126" t="str">
        <v/>
      </c>
      <c r="H53" s="115" t="str">
        <v>Lookup</v>
      </c>
      <c r="I53" s="116" t="str" cm="1">
        <f t="array" aca="1" ref="I53" ca="1">HYPERLINK(Common_InputFunctions.Utility_SourceHyperlink($D$16), $D$16)</f>
        <v>Table_MU_j_f</v>
      </c>
    </row>
    <row r="54" spans="1:9" ht="20.100000000000001" customHeight="1" x14ac:dyDescent="0.2">
      <c r="A54" s="5" t="str">
        <f>HYPERLINK("#'Constants - Fuel'!A1", "Constants - Fuel")</f>
        <v>Constants - Fuel</v>
      </c>
    </row>
    <row r="55" spans="1:9" ht="20.100000000000001" customHeight="1" x14ac:dyDescent="0.2">
      <c r="A55" s="5" t="str">
        <f>HYPERLINK("#'Constants - Scope 3'!A1", "Constants - Scope 3")</f>
        <v>Constants - Scope 3</v>
      </c>
      <c r="D55" s="118" t="s">
        <v>796</v>
      </c>
    </row>
    <row r="56" spans="1:9" ht="20.100000000000001" customHeight="1" x14ac:dyDescent="0.2">
      <c r="A56" s="5" t="str">
        <f>HYPERLINK("#'Constants - Solid Waste'!A1", "Constants - Solid Waste")</f>
        <v>Constants - Solid Waste</v>
      </c>
      <c r="D56" s="119" t="s">
        <v>797</v>
      </c>
    </row>
    <row r="57" spans="1:9" ht="20.100000000000001" customHeight="1" x14ac:dyDescent="0.2">
      <c r="A57" s="5" t="str">
        <f>HYPERLINK("#'Constants - Common'!A1", "Constants - Common")</f>
        <v>Constants - Common</v>
      </c>
      <c r="D57" s="120" t="s">
        <v>766</v>
      </c>
      <c r="E57" s="120" t="s">
        <v>778</v>
      </c>
    </row>
    <row r="58" spans="1:9" ht="20.100000000000001" customHeight="1" x14ac:dyDescent="0.2">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
      <c r="D59" s="15" t="str">
        <v>Diammonium phosphate (DAP)</v>
      </c>
      <c r="E59" s="15" cm="1">
        <f t="array" ref="E59">Fertiliser_Equations_InorganicCO2.VEERG_5_1_1_3__1_InorganicFertiliserApplicationCO2Emissions(G20,$I$50,$I$51)</f>
        <v>0</v>
      </c>
    </row>
    <row r="60" spans="1:9" ht="20.100000000000001" customHeight="1" x14ac:dyDescent="0.2">
      <c r="D60" s="15" t="str">
        <v>Urea</v>
      </c>
      <c r="E60" s="15" cm="1">
        <f t="array" ref="E60">Fertiliser_Equations_InorganicCO2.VEERG_5_1_1_3__1_InorganicFertiliserApplicationCO2Emissions(G21,$I$50,$I$51)</f>
        <v>18.492752666666668</v>
      </c>
    </row>
    <row r="61" spans="1:9" ht="20.100000000000001" customHeight="1" x14ac:dyDescent="0.2">
      <c r="D61" s="15" t="str">
        <v>Sulphate of ammonia (SOA)</v>
      </c>
      <c r="E61" s="15" cm="1">
        <f t="array" ref="E61">Fertiliser_Equations_InorganicCO2.VEERG_5_1_1_3__1_InorganicFertiliserApplicationCO2Emissions(G22,$I$50,$I$51)</f>
        <v>0</v>
      </c>
    </row>
    <row r="62" spans="1:9" ht="20.100000000000001" customHeight="1" x14ac:dyDescent="0.2">
      <c r="D62" s="15" t="str">
        <v>Urea-ammonium nitrate (UAN)</v>
      </c>
      <c r="E62" s="15" cm="1">
        <f t="array" ref="E62">Fertiliser_Equations_InorganicCO2.VEERG_5_1_1_3__1_InorganicFertiliserApplicationCO2Emissions(G23,$I$50,$I$51)</f>
        <v>0</v>
      </c>
    </row>
    <row r="63" spans="1:9" ht="20.100000000000001" customHeight="1" x14ac:dyDescent="0.2">
      <c r="D63" s="15" t="str">
        <v>Ammonium nitrate (AN)</v>
      </c>
      <c r="E63" s="15" cm="1">
        <f t="array" ref="E63">Fertiliser_Equations_InorganicCO2.VEERG_5_1_1_3__1_InorganicFertiliserApplicationCO2Emissions(G24,$I$50,$I$51)</f>
        <v>0</v>
      </c>
    </row>
    <row r="64" spans="1:9" ht="20.100000000000001" customHeight="1" x14ac:dyDescent="0.2">
      <c r="D64" s="15" t="str">
        <v>Calcium ammonium nitrate (CAN)</v>
      </c>
      <c r="E64" s="15" cm="1">
        <f t="array" ref="E64">Fertiliser_Equations_InorganicCO2.VEERG_5_1_1_3__1_InorganicFertiliserApplicationCO2Emissions(G25,$I$50,$I$51)</f>
        <v>0</v>
      </c>
    </row>
    <row r="65" spans="1:6" ht="20.100000000000001" customHeight="1" x14ac:dyDescent="0.2">
      <c r="D65" s="15" t="str">
        <v>Nitrogen - Ammoniacal</v>
      </c>
      <c r="E65" s="15" cm="1">
        <f t="array" ref="E65">Fertiliser_Equations_InorganicCO2.VEERG_5_1_1_3__1_InorganicFertiliserApplicationCO2Emissions(G26,$I$50,$I$51)</f>
        <v>0</v>
      </c>
    </row>
    <row r="66" spans="1:6" ht="20.100000000000001" customHeight="1" x14ac:dyDescent="0.2">
      <c r="D66" s="15" t="str">
        <v>Nitrogen - Nitrate</v>
      </c>
      <c r="E66" s="15" cm="1">
        <f t="array" ref="E66">Fertiliser_Equations_InorganicCO2.VEERG_5_1_1_3__1_InorganicFertiliserApplicationCO2Emissions(G27,$I$50,$I$51)</f>
        <v>0</v>
      </c>
    </row>
    <row r="67" spans="1:6" ht="20.100000000000001" customHeight="1" x14ac:dyDescent="0.2">
      <c r="D67" s="15" t="str">
        <v>Nitrogen - Generic</v>
      </c>
      <c r="E67" s="15" cm="1">
        <f t="array" ref="E67">Fertiliser_Equations_InorganicCO2.VEERG_5_1_1_3__1_InorganicFertiliserApplicationCO2Emissions(G28,$I$50,$I$51)</f>
        <v>0</v>
      </c>
    </row>
    <row r="68" spans="1:6" ht="20.100000000000001" customHeight="1" x14ac:dyDescent="0.2">
      <c r="A68" s="79" t="str">
        <f>HYPERLINK("#A1", "▲ Back to top")</f>
        <v>▲ Back to top</v>
      </c>
      <c r="D68" s="15" t="str">
        <v>Phosphorus - Generic</v>
      </c>
      <c r="E68" s="15" cm="1">
        <f t="array" ref="E68">Fertiliser_Equations_InorganicCO2.VEERG_5_1_1_3__1_InorganicFertiliserApplicationCO2Emissions(G29,$I$50,$I$51)</f>
        <v>0</v>
      </c>
    </row>
    <row r="69" spans="1:6" ht="20.100000000000001" customHeight="1" x14ac:dyDescent="0.2">
      <c r="D69" s="15" t="str">
        <v>Potassium - Generic</v>
      </c>
      <c r="E69" s="15" cm="1">
        <f t="array" ref="E69">Fertiliser_Equations_InorganicCO2.VEERG_5_1_1_3__1_InorganicFertiliserApplicationCO2Emissions(G30,$I$50,$I$51)</f>
        <v>0</v>
      </c>
    </row>
    <row r="70" spans="1:6" ht="20.100000000000001" customHeight="1" x14ac:dyDescent="0.2">
      <c r="D70" s="15" t="str">
        <v>Sulfur - Generic</v>
      </c>
      <c r="E70" s="15" cm="1">
        <f t="array" ref="E70">Fertiliser_Equations_InorganicCO2.VEERG_5_1_1_3__1_InorganicFertiliserApplicationCO2Emissions(G31,$I$50,$I$51)</f>
        <v>0</v>
      </c>
    </row>
    <row r="71" spans="1:6" ht="20.100000000000001" customHeight="1" x14ac:dyDescent="0.2">
      <c r="D71" s="15" t="str">
        <v>Zinc - Generic</v>
      </c>
      <c r="E71" s="15" cm="1">
        <f t="array" ref="E71">Fertiliser_Equations_InorganicCO2.VEERG_5_1_1_3__1_InorganicFertiliserApplicationCO2Emissions(G32,$I$50,$I$51)</f>
        <v>0</v>
      </c>
    </row>
    <row r="72" spans="1:6" ht="20.100000000000001" customHeight="1" x14ac:dyDescent="0.2">
      <c r="D72" s="15" t="str">
        <v>Muriate of potash (MOP)</v>
      </c>
      <c r="E72" s="15" cm="1">
        <f t="array" ref="E72">Fertiliser_Equations_InorganicCO2.VEERG_5_1_1_3__1_InorganicFertiliserApplicationCO2Emissions(G33,$I$50,$I$51)</f>
        <v>0</v>
      </c>
    </row>
    <row r="73" spans="1:6" ht="20.100000000000001" customHeight="1" x14ac:dyDescent="0.2">
      <c r="D73" s="15" t="str">
        <v>Double superphosphate</v>
      </c>
      <c r="E73" s="15" cm="1">
        <f t="array" ref="E73">Fertiliser_Equations_InorganicCO2.VEERG_5_1_1_3__1_InorganicFertiliserApplicationCO2Emissions(G34,$I$50,$I$51)</f>
        <v>0</v>
      </c>
    </row>
    <row r="74" spans="1:6" ht="20.100000000000001" customHeight="1" x14ac:dyDescent="0.2">
      <c r="D74" s="15" t="str">
        <v>Single superphosphate (SSP)</v>
      </c>
      <c r="E74" s="15" cm="1">
        <f t="array" ref="E74">Fertiliser_Equations_InorganicCO2.VEERG_5_1_1_3__1_InorganicFertiliserApplicationCO2Emissions(G35,$I$50,$I$51)</f>
        <v>0</v>
      </c>
    </row>
    <row r="75" spans="1:6" ht="20.100000000000001" customHeight="1" x14ac:dyDescent="0.2">
      <c r="D75" s="15" t="str">
        <v>Ammonia</v>
      </c>
      <c r="E75" s="15" cm="1">
        <f t="array" ref="E75">Fertiliser_Equations_InorganicCO2.VEERG_5_1_1_3__1_InorganicFertiliserApplicationCO2Emissions(G36,$I$50,$I$51)</f>
        <v>0</v>
      </c>
    </row>
    <row r="76" spans="1:6" ht="20.100000000000001" customHeight="1" x14ac:dyDescent="0.2">
      <c r="D76" s="15" t="str">
        <v>Calcium nitrate</v>
      </c>
      <c r="E76" s="15" cm="1">
        <f t="array" ref="E76">Fertiliser_Equations_InorganicCO2.VEERG_5_1_1_3__1_InorganicFertiliserApplicationCO2Emissions(G37,$I$50,$I$51)</f>
        <v>0</v>
      </c>
    </row>
    <row r="78" spans="1:6" ht="20.100000000000001" customHeight="1" x14ac:dyDescent="0.2">
      <c r="D78" s="85" t="s">
        <v>798</v>
      </c>
      <c r="E78" s="86">
        <f>SUM(E58:E76)</f>
        <v>18.492752666666668</v>
      </c>
      <c r="F78" s="95" t="str">
        <f>$E$47</f>
        <v>t CO2</v>
      </c>
    </row>
  </sheetData>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C04DC-1A74-4B6C-B906-30884DB4886A}">
  <sheetPr>
    <tabColor rgb="FF008000"/>
  </sheetPr>
  <dimension ref="A1:U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799</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
      <c r="D6" s="17" t="str" cm="1">
        <f t="array" ref="D6">Fertiliser_Equations_OrganicN2O.VEERG_5_2_1_1__2_MassOfNitrogenInOrganicFertiliser_Source()</f>
        <v>VEERG 2026: 5.2.1.1, Equation (2)</v>
      </c>
    </row>
    <row r="7" spans="1:21" ht="20.100000000000001" customHeight="1" x14ac:dyDescent="0.2">
      <c r="D7" s="112" t="s">
        <v>328</v>
      </c>
      <c r="E7" s="112" t="str" cm="1">
        <f t="array" aca="1" ref="E7" ca="1">Common_InputFunctions.Utility_DisplayFunctionName($I$20)</f>
        <v>=Fertiliser_Equations_OrganicN2O.VEERG_5_2_1_1__2_MassOfNitrogenInOrganicFertiliser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Fertiliser_Equations_OrganicN2O.VEERG_5_2_1_1__2_MassOfNitrogenInOrganicFertiliser_Variable()</f>
        <v>MNSoil_jf</v>
      </c>
    </row>
    <row r="11" spans="1:21" ht="20.100000000000001" customHeight="1" x14ac:dyDescent="0.2">
      <c r="A11" s="5" t="str">
        <f>HYPERLINK("#'Input - Poultry'!A1", "Poultry")</f>
        <v>Poultry</v>
      </c>
      <c r="D11" s="75" t="s">
        <v>118</v>
      </c>
      <c r="E11" s="9" t="str" cm="1">
        <f t="array" ref="E11">Fertiliser_Equations_OrganicN2O.VEERG_5_2_1_1__2_MassOfNitrogenInOrganicFertiliser_Unit()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26" t="str" cm="1">
        <f t="array" ref="D13:E15">_xlfn.CHOOSECOLS(Fertiliser_Equations_OrganicN2O.VEERG_5_2_1_1__2_MassOfNitrogenInOrganicFertiliser_Arguments(), 1, 2)</f>
        <v>M_organicjf</v>
      </c>
      <c r="E13" s="129" t="str">
        <v>mass of organic fertiliser type f applied to production system j</v>
      </c>
      <c r="F13" s="223"/>
      <c r="G13" s="113" t="str" cm="1">
        <f t="array" ref="G13:H15">_xlfn.CHOOSECOLS(Fertiliser_Equations_OrganicN2O.VEERG_5_2_1_1__2_MassOfNitrogenInOrganicFertiliser_Arguments(), 3,4)</f>
        <v>kg</v>
      </c>
      <c r="H13" s="114" t="str">
        <v>Input</v>
      </c>
      <c r="I13" s="116" t="str" cm="1">
        <f t="array" aca="1" ref="I13" ca="1">HYPERLINK(Common_InputFunctions.Utility_SourceHyperlink($D$17), $D$17)</f>
        <v>Table_MNSoil_j_f</v>
      </c>
    </row>
    <row r="14" spans="1:21" ht="20.100000000000001" customHeight="1" x14ac:dyDescent="0.2">
      <c r="A14" s="5" t="str">
        <f>HYPERLINK("#'Input - Fuel'!A1", "Fuel")</f>
        <v>Fuel</v>
      </c>
      <c r="D14" s="126" t="str">
        <v>FN_organicf</v>
      </c>
      <c r="E14" s="129" t="str">
        <v>nitrogen fraction of organic fertiliser type f</v>
      </c>
      <c r="F14" s="223"/>
      <c r="G14" s="113" t="str">
        <v>kg N/kg</v>
      </c>
      <c r="H14" s="114" t="str">
        <v>Input</v>
      </c>
      <c r="I14" s="116" t="str" cm="1">
        <f t="array" aca="1" ref="I14" ca="1">HYPERLINK(Common_InputFunctions.Utility_SourceHyperlink($D$17), $D$17)</f>
        <v>Table_MNSoil_j_f</v>
      </c>
    </row>
    <row r="15" spans="1:21" ht="20.100000000000001" customHeight="1" x14ac:dyDescent="0.2">
      <c r="A15" s="5" t="str">
        <f>HYPERLINK("#'Input - Electricity'!A1", "Electricity")</f>
        <v>Electricity</v>
      </c>
      <c r="D15" s="126" t="str">
        <v>f</v>
      </c>
      <c r="E15" s="129" t="str">
        <v>Organic fertiliser type</v>
      </c>
      <c r="F15" s="223"/>
      <c r="G15" s="113" t="str">
        <v/>
      </c>
      <c r="H15" s="114" t="str">
        <v>Input</v>
      </c>
      <c r="I15" s="116"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118" t="s">
        <v>800</v>
      </c>
    </row>
    <row r="18" spans="1:10" ht="20.100000000000001" customHeight="1" x14ac:dyDescent="0.2">
      <c r="A18" s="5" t="str">
        <f>HYPERLINK("#'Input - Freight'!A1", "Freight")</f>
        <v>Freight</v>
      </c>
      <c r="D18" s="119" t="s">
        <v>801</v>
      </c>
    </row>
    <row r="19" spans="1:10" ht="20.100000000000001" customHeight="1" x14ac:dyDescent="0.2">
      <c r="A19" s="5" t="str">
        <f>HYPERLINK("#'Input - Solid waste'!A1", "Solid waste")</f>
        <v>Solid waste</v>
      </c>
      <c r="D19" s="78" t="s">
        <v>802</v>
      </c>
      <c r="E19" s="78" t="s">
        <v>803</v>
      </c>
      <c r="F19" s="78" t="s">
        <v>694</v>
      </c>
      <c r="G19" s="227" t="s">
        <v>804</v>
      </c>
      <c r="H19" s="78" t="s">
        <v>805</v>
      </c>
      <c r="I19" s="227" t="s">
        <v>806</v>
      </c>
    </row>
    <row r="20" spans="1:10" ht="20.100000000000001" customHeight="1" x14ac:dyDescent="0.2">
      <c r="A20" s="5" t="str">
        <f>HYPERLINK("#'Input - Manure sent off-site'!A1", "Manure sent off-site")</f>
        <v>Manure sent off-site</v>
      </c>
      <c r="D20" s="15" t="str" cm="1">
        <f t="array" ref="D20:D22">Table_Input_OrganicFertiliser[Organic fertiliser type (select)]</f>
        <v>Manure - Other</v>
      </c>
      <c r="E20" s="228" cm="1">
        <f t="array" ref="E20:E22">Table_Input_OrganicFertiliser[Amount applied (kg/hectare)]</f>
        <v>10</v>
      </c>
      <c r="F20" s="228" cm="1">
        <f t="array" ref="F20:F22">Table_Input_OrganicFertiliser[Application area (ha)]</f>
        <v>100</v>
      </c>
      <c r="G20" s="15" cm="1">
        <f t="array" ref="G20:G22">Table_Input_OrganicFertiliser[Amount applied (kg/hectare)]*Table_Input_OrganicFertiliser[Application area (ha)]</f>
        <v>1000</v>
      </c>
      <c r="H20" s="229" cm="1">
        <f t="array" ref="H20:H22">Table_Input_OrganicFertiliser[Percentage of N in fertiliser]</f>
        <v>0.3</v>
      </c>
      <c r="I20" s="15" cm="1">
        <f t="array" ref="I20">Fertiliser_Equations_OrganicN2O.VEERG_5_2_1_1__2_MassOfNitrogenInOrganicFertiliser(G20,H20)</f>
        <v>300</v>
      </c>
    </row>
    <row r="21" spans="1:10" ht="20.100000000000001" customHeight="1" x14ac:dyDescent="0.2">
      <c r="A21" s="5" t="str">
        <f>HYPERLINK("#'Input - Data quality'!A1", "Data quality")</f>
        <v>Data quality</v>
      </c>
      <c r="D21" s="15" t="str">
        <v>Manure - Poultry</v>
      </c>
      <c r="E21" s="15">
        <v>10</v>
      </c>
      <c r="F21" s="15">
        <v>100</v>
      </c>
      <c r="G21" s="15">
        <v>1000</v>
      </c>
      <c r="H21" s="15">
        <v>0.25</v>
      </c>
      <c r="I21" s="15" cm="1">
        <f t="array" ref="I21">Fertiliser_Equations_Organic.VEERG_5_2_1_1__2_MassOfNitrogenInOrganicFertiliser(G21,H21)</f>
        <v>250</v>
      </c>
    </row>
    <row r="22" spans="1:10" ht="20.100000000000001" customHeight="1" x14ac:dyDescent="0.2">
      <c r="A22" s="5" t="str">
        <f>HYPERLINK("#'Input - Fert Prod System'!A1", "Fert Prod System")</f>
        <v>Fert Prod System</v>
      </c>
      <c r="D22" s="15" t="str">
        <v>Other organic fertiliser</v>
      </c>
      <c r="E22" s="15">
        <v>10</v>
      </c>
      <c r="F22" s="15">
        <v>100</v>
      </c>
      <c r="G22" s="15">
        <v>1000</v>
      </c>
      <c r="H22" s="15">
        <v>0.16</v>
      </c>
      <c r="I22" s="15" cm="1">
        <f t="array" ref="I22">Fertiliser_Equations_Organic.VEERG_5_2_1_1__2_MassOfNitrogenInOrganicFertiliser(G22,H22)</f>
        <v>160</v>
      </c>
    </row>
    <row r="23" spans="1:10" ht="20.100000000000001" customHeight="1" x14ac:dyDescent="0.2">
      <c r="A23" s="5" t="str">
        <f>HYPERLINK("#'Input - Fertiliser'!A1", "Fertiliser")</f>
        <v>Fertiliser</v>
      </c>
      <c r="D23" s="15"/>
      <c r="E23" s="15"/>
      <c r="F23" s="15"/>
      <c r="G23" s="15"/>
      <c r="H23" s="15"/>
      <c r="I23" s="15" cm="1">
        <f t="array" ref="I23">Fertiliser_Equations_Organic.VEERG_5_2_1_1__2_MassOfNitrogenInOrganicFertiliser(G23,H23)</f>
        <v>0</v>
      </c>
    </row>
    <row r="24" spans="1:10" ht="20.100000000000001" customHeight="1" x14ac:dyDescent="0.2">
      <c r="D24" s="15"/>
      <c r="E24" s="15"/>
      <c r="F24" s="15"/>
      <c r="G24" s="15"/>
      <c r="H24" s="15"/>
      <c r="I24" s="15" cm="1">
        <f t="array" ref="I24">Fertiliser_Equations_Organic.VEERG_5_2_1_1__2_MassOfNitrogenInOrganicFertiliser(G24,H24)</f>
        <v>0</v>
      </c>
    </row>
    <row r="25" spans="1:10" ht="20.100000000000001" customHeight="1" x14ac:dyDescent="0.2">
      <c r="D25" s="15"/>
      <c r="E25" s="15"/>
      <c r="F25" s="15"/>
      <c r="G25" s="15"/>
      <c r="H25" s="15"/>
      <c r="I25" s="15" cm="1">
        <f t="array" ref="I25">Fertiliser_Equations_Organic.VEERG_5_2_1_1__2_MassOfNitrogenInOrganicFertiliser(G25,H25)</f>
        <v>0</v>
      </c>
    </row>
    <row r="26" spans="1:10" ht="20.100000000000001" customHeight="1" x14ac:dyDescent="0.2">
      <c r="A26" s="6" t="s">
        <v>2</v>
      </c>
      <c r="D26" s="15"/>
      <c r="E26" s="15"/>
      <c r="F26" s="15"/>
      <c r="G26" s="15"/>
      <c r="H26" s="15"/>
      <c r="I26" s="15" cm="1">
        <f t="array" ref="I26">Fertiliser_Equations_Organic.VEERG_5_2_1_1__2_MassOfNitrogenInOrganicFertiliser(G26,H26)</f>
        <v>0</v>
      </c>
    </row>
    <row r="27" spans="1:10" ht="20.100000000000001" customHeight="1" x14ac:dyDescent="0.2">
      <c r="A27" s="5" t="str">
        <f>HYPERLINK("#'4.6.1.1-2 Methane'!A1", "4.6.1.1-2 Manure Methane")</f>
        <v>4.6.1.1-2 Manure Methane</v>
      </c>
      <c r="D27" s="15"/>
      <c r="E27" s="15"/>
      <c r="F27" s="15"/>
      <c r="G27" s="15"/>
      <c r="H27" s="15"/>
      <c r="I27" s="15" cm="1">
        <f t="array" ref="I27">Fertiliser_Equations_Organic.VEERG_5_2_1_1__2_MassOfNitrogenInOrganicFertiliser(G27,H27)</f>
        <v>0</v>
      </c>
    </row>
    <row r="28" spans="1:10" ht="20.100000000000001" customHeight="1" x14ac:dyDescent="0.2">
      <c r="A28" s="5" t="str">
        <f>HYPERLINK("#'4.6.1.3-4 Direct N20'!A1", "4.6.1.3-4 Manure Direct N2O")</f>
        <v>4.6.1.3-4 Manure Direct N2O</v>
      </c>
      <c r="D28" s="15"/>
      <c r="E28" s="15"/>
      <c r="F28" s="15"/>
      <c r="G28" s="15"/>
      <c r="H28" s="15"/>
      <c r="I28" s="15" cm="1">
        <f t="array" ref="I28">Fertiliser_Equations_Organic.VEERG_5_2_1_1__2_MassOfNitrogenInOrganicFertiliser(G28,H28)</f>
        <v>0</v>
      </c>
    </row>
    <row r="29" spans="1:10" ht="20.100000000000001" customHeight="1" x14ac:dyDescent="0.2">
      <c r="A29" s="5" t="str">
        <f>HYPERLINK("#'4.6.1.5-6 Atmos Dep'!A1", "4.6.1.5-6 Manure Atmos Dep")</f>
        <v>4.6.1.5-6 Manure Atmos Dep</v>
      </c>
      <c r="D29" s="15"/>
      <c r="E29" s="15"/>
      <c r="F29" s="15"/>
      <c r="G29" s="15"/>
      <c r="H29" s="15"/>
      <c r="I29" s="15" cm="1">
        <f t="array" ref="I29">Fertiliser_Equations_Organic.VEERG_5_2_1_1__2_MassOfNitrogenInOrganicFertiliser(G29,H29)</f>
        <v>0</v>
      </c>
    </row>
    <row r="30" spans="1:10" ht="20.100000000000001" customHeight="1" x14ac:dyDescent="0.2">
      <c r="A30" s="5" t="str">
        <f>HYPERLINK("#'4.6.1.7-8 Leaching and runoff'!A1", "4.6.1.7-8 Manure Leaching and runoff")</f>
        <v>4.6.1.7-8 Manure Leaching and runoff</v>
      </c>
      <c r="D30" s="15"/>
      <c r="E30" s="15"/>
      <c r="F30" s="15"/>
      <c r="G30" s="15"/>
      <c r="H30" s="15"/>
      <c r="I30" s="15" cm="1">
        <f t="array" ref="I30">Fertiliser_Equations_Organic.VEERG_5_2_1_1__2_MassOfNitrogenInOrganicFertiliser(G30,H30)</f>
        <v>0</v>
      </c>
    </row>
    <row r="31" spans="1:10" ht="20.100000000000001" customHeight="1" x14ac:dyDescent="0.2">
      <c r="A31" s="5" t="str">
        <f>HYPERLINK("#'4.6.1.9 Manure applied to soils'!A1", "4.6.1.9 Manure applied to soils")</f>
        <v>4.6.1.9 Manure applied to soils</v>
      </c>
      <c r="D31" s="154"/>
      <c r="E31" s="154"/>
      <c r="F31" s="154"/>
      <c r="G31" s="154"/>
      <c r="H31" s="154"/>
      <c r="I31" s="154"/>
      <c r="J31" s="154"/>
    </row>
    <row r="32" spans="1:10" ht="20.100000000000001" customHeight="1" x14ac:dyDescent="0.2">
      <c r="A32" s="5" t="str">
        <f>HYPERLINK("#'4.6.1.10-11 Soil direct N2O'!A1", "4.6.1.10-11 Soil direct N2O")</f>
        <v>4.6.1.10-11 Soil direct N2O</v>
      </c>
      <c r="D32" s="88" t="s">
        <v>807</v>
      </c>
      <c r="E32" s="88">
        <f>SUM(I20:I30)</f>
        <v>710</v>
      </c>
      <c r="F32" s="230" t="str">
        <f>$E$11</f>
        <v>kg N</v>
      </c>
      <c r="G32" s="154"/>
      <c r="H32" s="154"/>
      <c r="I32" s="154"/>
      <c r="J32" s="154"/>
    </row>
    <row r="33" spans="1:12" ht="20.100000000000001" customHeight="1" x14ac:dyDescent="0.2">
      <c r="A33" s="5" t="str">
        <f>HYPERLINK("#'4.6.1.12-13 Soil atmos dep'!A1", "4.6.1.12-13 Soil atmos dep")</f>
        <v>4.6.1.12-13 Soil atmos dep</v>
      </c>
    </row>
    <row r="34" spans="1:12" ht="20.100000000000001" customHeight="1" x14ac:dyDescent="0.2">
      <c r="A34" s="5" t="str">
        <f>HYPERLINK("#'4.6.1.14-15 Soil leach runoff'!A1", "4.6.1.14-15 Soil leach runoff")</f>
        <v>4.6.1.14-15 Soil leach runoff</v>
      </c>
    </row>
    <row r="35" spans="1:12" ht="20.100000000000001" customHeight="1" x14ac:dyDescent="0.2">
      <c r="A35" s="5" t="str">
        <f>HYPERLINK("#'8.1.1.1-2 Transport fuel'!A1", "8.1.1.1-2 Transport fuel")</f>
        <v>8.1.1.1-2 Transport fuel</v>
      </c>
      <c r="C35" s="231"/>
      <c r="D35" s="231"/>
      <c r="E35" s="231"/>
      <c r="F35" s="231"/>
      <c r="G35" s="231"/>
      <c r="H35" s="231"/>
      <c r="I35" s="231"/>
      <c r="J35" s="231"/>
      <c r="K35" s="231"/>
      <c r="L35" s="231"/>
    </row>
    <row r="36" spans="1:12" ht="20.100000000000001" customHeight="1" x14ac:dyDescent="0.2">
      <c r="A36" s="5" t="str">
        <f>HYPERLINK("#'8.2.1.1-2 Stationary fuel'!A1", "8.2.1.1-2 Stationary fuel")</f>
        <v>8.2.1.1-2 Stationary fuel</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
      <c r="A37" s="5" t="str">
        <f>HYPERLINK("#'10.1.1-2 Solid waste treatment'!A1", "10.1.1.1-2 Solid waste")</f>
        <v>10.1.1.1-2 Solid waste</v>
      </c>
      <c r="D37" s="17" t="str" cm="1">
        <f t="array" ref="D37">Fertiliser_Equations_OrganicN2O.VEERG_5_2_1_1__1_OrganicFertiliserApplicationN2OEmissions_Source()</f>
        <v>VEERG 2026: 5.2.1.1, Equation (1)</v>
      </c>
    </row>
    <row r="38" spans="1:12" ht="20.100000000000001" customHeight="1" x14ac:dyDescent="0.2">
      <c r="A38" s="5" t="str">
        <f>HYPERLINK("#'14.1.1-2 Purchased electricity'!A1", "14.1.1-2 Purchased electricity")</f>
        <v>14.1.1-2 Purchased electricity</v>
      </c>
      <c r="D38" s="112" t="s">
        <v>328</v>
      </c>
      <c r="E38" s="112" t="str" cm="1">
        <f t="array" aca="1" ref="E38" ca="1">Common_InputFunctions.Utility_DisplayFunctionName($I$20)</f>
        <v>=Fertiliser_Equations_OrganicN2O.VEERG_5_2_1_1__2_MassOfNitrogenInOrganicFertiliser</v>
      </c>
    </row>
    <row r="39" spans="1:12" ht="20.100000000000001" customHeight="1" x14ac:dyDescent="0.2">
      <c r="A39" s="5" t="str">
        <f>HYPERLINK("#'15 Scope 3'!A1", "15 Scope 3")</f>
        <v>15 Scope 3</v>
      </c>
    </row>
    <row r="40" spans="1:12" ht="20.100000000000001" customHeight="1" x14ac:dyDescent="0.2">
      <c r="A40" s="5" t="str">
        <f>HYPERLINK("#'Calcs - Manure sent off-site'!A1", "Calcs - Manure sent off-site")</f>
        <v>Calcs - Manure sent off-site</v>
      </c>
    </row>
    <row r="41" spans="1:12" ht="20.100000000000001" customHeight="1" x14ac:dyDescent="0.2">
      <c r="A41" s="5" t="str">
        <f>HYPERLINK("#'5.1.1.1-2 Inorganic fert N2O'!A1", "5.1.1.1-2 Inorganic fert N2O")</f>
        <v>5.1.1.1-2 Inorganic fert N2O</v>
      </c>
      <c r="D41" s="75" t="s">
        <v>329</v>
      </c>
      <c r="E41" s="1" t="str" cm="1">
        <f t="array" ref="E41">Fertiliser_Equations_OrganicN2O.VEERG_5_2_1_1__1_OrganicFertiliserApplicationN2OEmissions_Variable()</f>
        <v>E_N2O</v>
      </c>
    </row>
    <row r="42" spans="1:12" ht="20.100000000000001" customHeight="1" x14ac:dyDescent="0.2">
      <c r="A42" s="5" t="str">
        <f>HYPERLINK("#'5.1.1.3-4 Inorganic fert CO2'!A1", "5.1.1.3-4 Inorganic fert CO2")</f>
        <v>5.1.1.3-4 Inorganic fert CO2</v>
      </c>
      <c r="D42" s="75" t="s">
        <v>118</v>
      </c>
      <c r="E42" s="9" t="str" cm="1">
        <f t="array" ref="E42">Fertiliser_Equations_OrganicN2O.VEERG_5_2_1_1__1_OrganicFertiliserApplicationN2OEmissions_Unit()</f>
        <v>t N2O</v>
      </c>
    </row>
    <row r="43" spans="1:12" ht="20.100000000000001" customHeight="1" x14ac:dyDescent="0.2">
      <c r="A43" s="117" t="str">
        <f>HYPERLINK("#'5.2.1.1-2 Organic Fert N2O'!A1", "5.2.1.1-2 Organic Fert N2O")</f>
        <v>5.2.1.1-2 Organic Fert N2O</v>
      </c>
    </row>
    <row r="44" spans="1:12" ht="20.100000000000001" customHeight="1" x14ac:dyDescent="0.2">
      <c r="A44" s="5" t="str">
        <f>HYPERLINK("#'5.3.1.1-2 Lime CO2'!A1", "5.3.1.1-2 Lime CO2")</f>
        <v>5.3.1.1-2 Lime CO2</v>
      </c>
      <c r="D44" s="113" t="str" cm="1">
        <f t="array" ref="D44:E48">_xlfn.CHOOSECOLS(Fertiliser_Equations_OrganicN2O.VEERG_5_2_1_1__1_OrganicFertiliserApplicationN2OEmissions_Arguments(), 1, 2)</f>
        <v>MNSoil_jf</v>
      </c>
      <c r="E44" s="122" t="str">
        <v>mass of nitrogen in organic fertiliser type f applied to production system j</v>
      </c>
      <c r="F44" s="136"/>
      <c r="G44" s="136"/>
      <c r="H44" s="123"/>
      <c r="I44" s="113" t="str" cm="1">
        <f t="array" ref="I44:J48">_xlfn.CHOOSECOLS(Fertiliser_Equations_OrganicN2O.VEERG_5_2_1_1__1_OrganicFertiliserApplicationN2OEmissions_Arguments(), 3,4)</f>
        <v>kg N</v>
      </c>
      <c r="J44" s="115" t="str">
        <v>Calculated from 5.2.1.1 (2)</v>
      </c>
      <c r="K44" s="113">
        <f>$E$32</f>
        <v>710</v>
      </c>
    </row>
    <row r="45" spans="1:12" ht="20.100000000000001" customHeight="1" x14ac:dyDescent="0.2">
      <c r="A45" s="5" t="str">
        <f>HYPERLINK("#'5.4.1.1-4 Atmos deposition'!A1", "5.4.1.1-4 Atmos deposition")</f>
        <v>5.4.1.1-4 Atmos deposition</v>
      </c>
      <c r="D45" s="113" t="str">
        <v>EF_N2Oi</v>
      </c>
      <c r="E45" s="122" t="str">
        <v>emission factor for direct nitrous oxide emissions from organic fertiliser applied to soils and aquatic systems in climate zone i</v>
      </c>
      <c r="F45" s="136"/>
      <c r="G45" s="136"/>
      <c r="H45" s="123"/>
      <c r="I45" s="113" t="str">
        <v>kg N2O-N/kg N</v>
      </c>
      <c r="J45" s="115" t="str">
        <v>Lookup</v>
      </c>
      <c r="K45" s="113">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5" t="str">
        <f>HYPERLINK("#'5.5.1.1-2 Leaching and runoff'!A1", "5.5.1.1-2 Leaching and runoff")</f>
        <v>5.5.1.1-2 Leaching and runoff</v>
      </c>
      <c r="D46" s="113" t="str">
        <v>C_N2O</v>
      </c>
      <c r="E46" s="122" t="str">
        <v>factor to convert elemental mass of nitrous oxide to molecular mass</v>
      </c>
      <c r="F46" s="136"/>
      <c r="G46" s="136"/>
      <c r="H46" s="123"/>
      <c r="I46" s="113" t="str">
        <v/>
      </c>
      <c r="J46" s="115" t="str">
        <v>Constant</v>
      </c>
      <c r="K46" s="126">
        <f>Common_InputFunctions.Utility_LookupValueInTableNumber("N2O",Table_GasToMolecularConversionFactor[Gas],Table_GasToMolecularConversionFactor[Conversion factor combined])</f>
        <v>1.5714285714285714</v>
      </c>
    </row>
    <row r="47" spans="1:12" ht="20.100000000000001" customHeight="1" x14ac:dyDescent="0.2">
      <c r="D47" s="113" t="str">
        <v>j</v>
      </c>
      <c r="E47" s="122" t="str">
        <v>Production system</v>
      </c>
      <c r="F47" s="136"/>
      <c r="G47" s="136"/>
      <c r="H47" s="123"/>
      <c r="I47" s="113" t="str">
        <v/>
      </c>
      <c r="J47" s="114" t="str">
        <v>Input</v>
      </c>
      <c r="K47" s="113" t="str">
        <f>X_Cell_Fertiliser_ProductionSystem</f>
        <v>Crop</v>
      </c>
    </row>
    <row r="48" spans="1:12" ht="20.100000000000001" customHeight="1" x14ac:dyDescent="0.2">
      <c r="D48" s="113" t="str">
        <v>i</v>
      </c>
      <c r="E48" s="122" t="str">
        <v>Wet or dry climate zone</v>
      </c>
      <c r="F48" s="136"/>
      <c r="G48" s="136"/>
      <c r="H48" s="123"/>
      <c r="I48" s="113" t="str">
        <v/>
      </c>
      <c r="J48" s="114" t="str">
        <v>Input</v>
      </c>
      <c r="K48" s="113" t="str">
        <f>X_Cell_Site_WetOrDryClimateZone</f>
        <v>Dry climate zone</v>
      </c>
    </row>
    <row r="49" spans="1:7" ht="20.100000000000001" customHeight="1" x14ac:dyDescent="0.2">
      <c r="A49" s="80" t="s">
        <v>1</v>
      </c>
    </row>
    <row r="50" spans="1:7" ht="20.100000000000001" customHeight="1" x14ac:dyDescent="0.2">
      <c r="A50" s="5" t="str">
        <f>HYPERLINK("#'Constants - Poultry'!A1", "Constants - Poultry")</f>
        <v>Constants - Poultry</v>
      </c>
      <c r="D50" s="85" t="s">
        <v>781</v>
      </c>
      <c r="E50" s="86" cm="1">
        <f t="array" ref="E50">Fertiliser_Equations_OrganicN2O.VEERG_5_2_1_1__1_OrganicFertiliserApplicationN2OEmissions(K44,K45,K46)</f>
        <v>5.5785714285714293E-3</v>
      </c>
      <c r="F50" s="95" t="str">
        <f>$E$42</f>
        <v>t N2O</v>
      </c>
    </row>
    <row r="51" spans="1:7" ht="20.100000000000001" customHeight="1" x14ac:dyDescent="0.2">
      <c r="A51" s="5" t="str">
        <f>HYPERLINK("#'Constants - Common livestock'!A1", "Constants - Common Livestock")</f>
        <v>Constants - Common Livestock</v>
      </c>
    </row>
    <row r="52" spans="1:7" ht="20.100000000000001" customHeight="1" x14ac:dyDescent="0.2">
      <c r="A52" s="5" t="str">
        <f>HYPERLINK("#'Constants - Electricity'!A1", "Constants - Electricity")</f>
        <v>Constants - Electricity</v>
      </c>
      <c r="D52" s="126" t="str" cm="1">
        <f t="array" ref="D52:E53">Common_Equations.Common_ConvertN2OToCO2e_Arguments()</f>
        <v>EN2O</v>
      </c>
      <c r="E52" s="129" t="str">
        <v>Nitrous oxide emissions (t N2O)</v>
      </c>
      <c r="F52" s="130"/>
      <c r="G52" s="15">
        <f>VEERG_5_2_1_1__2_MassOfNitrogenInOrganicFertiliser_Result_Method1</f>
        <v>5.5785714285714293E-3</v>
      </c>
    </row>
    <row r="53" spans="1:7" ht="20.100000000000001" customHeight="1" x14ac:dyDescent="0.2">
      <c r="A53" s="5" t="str">
        <f>HYPERLINK("#'Constants - Fertiliser'!A1", "Constants - Fertiliser")</f>
        <v>Constants - Fertiliser</v>
      </c>
      <c r="D53" s="126" t="str">
        <v>GWPN2O</v>
      </c>
      <c r="E53" s="129" t="str">
        <v>Global warming potential for nitrous oxide (t CO2-e / t N2O)</v>
      </c>
      <c r="F53" s="130"/>
      <c r="G53" s="15">
        <f>Common_InputFunctions.Utility_LookupValueInTableNumber("N2O",Table_GWPData[Gas],Table_GWPData[CO2-e factor])</f>
        <v>265</v>
      </c>
    </row>
    <row r="54" spans="1:7" ht="20.100000000000001" customHeight="1" x14ac:dyDescent="0.2">
      <c r="A54" s="5" t="str">
        <f>HYPERLINK("#'Constants - Fuel'!A1", "Constants - Fuel")</f>
        <v>Constants - Fuel</v>
      </c>
    </row>
    <row r="55" spans="1:7" ht="20.100000000000001" customHeight="1" x14ac:dyDescent="0.2">
      <c r="A55" s="5" t="str">
        <f>HYPERLINK("#'Constants - Scope 3'!A1", "Constants - Scope 3")</f>
        <v>Constants - Scope 3</v>
      </c>
      <c r="D55" s="83" t="s">
        <v>377</v>
      </c>
      <c r="E55" s="83" cm="1">
        <f t="array" ref="E55">Common_Equations.Common_ConvertN2OToCO2e(G52,G53)</f>
        <v>1.4783214285714288</v>
      </c>
      <c r="F55" s="89" t="str" cm="1">
        <f t="array" ref="F55">Common_Equations.Common_ConvertN2OToCO2e_Unit()</f>
        <v>t CO2e</v>
      </c>
    </row>
    <row r="56" spans="1:7" ht="20.100000000000001" customHeight="1" x14ac:dyDescent="0.2">
      <c r="A56" s="5" t="str">
        <f>HYPERLINK("#'Constants - Solid Waste'!A1", "Constants - Solid Waste")</f>
        <v>Constants - Solid Waste</v>
      </c>
    </row>
    <row r="57" spans="1:7"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4A7E-F692-4436-B1BE-95F2BAC4549B}">
  <sheetPr>
    <tabColor rgb="FF008000"/>
  </sheetPr>
  <dimension ref="A1:U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808</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
      <c r="D6" s="17" t="str" cm="1">
        <f t="array" ref="D6">Fertiliser_Equations_Lime.VEERG_5_3_1_1__1_LimeApplicationCO2Emissions_Source()</f>
        <v>VEERG 2026: 5.3.1.1, Equation (1)</v>
      </c>
    </row>
    <row r="7" spans="1:21" ht="20.100000000000001" customHeight="1" x14ac:dyDescent="0.2">
      <c r="D7" s="112" t="s">
        <v>328</v>
      </c>
      <c r="E7" s="112" t="str" cm="1">
        <f t="array" aca="1" ref="E7" ca="1">Common_InputFunctions.Utility_DisplayFunctionName(H25)</f>
        <v>=Fertiliser_Equations_Lime.VEERG_5_3_1_1__1_LimeApplicationCO2Emissions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Fertiliser_Equations_Lime.VEERG_5_3_1_1__1_LimeApplicationCO2Emissions_Variable()</f>
        <v>E_lime</v>
      </c>
    </row>
    <row r="11" spans="1:21" ht="20.100000000000001" customHeight="1" x14ac:dyDescent="0.2">
      <c r="A11" s="5" t="str">
        <f>HYPERLINK("#'Input - Poultry'!A1", "Poultry")</f>
        <v>Poultry</v>
      </c>
      <c r="D11" s="75" t="s">
        <v>118</v>
      </c>
      <c r="E11" s="9" t="str" cm="1">
        <f t="array" ref="E11">Fertiliser_Equations_Lime.VEERG_5_3_1_1__1_LimeApplicationCO2Emissions_Unit()</f>
        <v>t CO2</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20">_xlfn.CHOOSECOLS(Fertiliser_Equations_Lime.VEERG_5_3_1_1__1_LimeApplicationCO2Emissions_Arguments(), 1, 2)</f>
        <v>M_lime</v>
      </c>
      <c r="E13" s="122" t="str">
        <v>total mass of lime applied to production system</v>
      </c>
      <c r="F13" s="123"/>
      <c r="G13" s="113" t="str" cm="1">
        <f t="array" ref="G13:H20">_xlfn.CHOOSECOLS(Fertiliser_Equations_Lime.VEERG_5_3_1_1__1_LimeApplicationCO2Emissions_Arguments(), 3,4)</f>
        <v>kg</v>
      </c>
      <c r="H13" s="114" t="str">
        <v>Input</v>
      </c>
      <c r="I13" s="116" t="str" cm="1">
        <f t="array" aca="1" ref="I13" ca="1">HYPERLINK(Common_InputFunctions.Utility_SourceHyperlink($D$22), $D$22)</f>
        <v>Table_E_lime</v>
      </c>
    </row>
    <row r="14" spans="1:21" ht="20.100000000000001" customHeight="1" x14ac:dyDescent="0.2">
      <c r="A14" s="5" t="str">
        <f>HYPERLINK("#'Input - Fuel'!A1", "Fuel")</f>
        <v>Fuel</v>
      </c>
      <c r="D14" s="113" t="str">
        <v>FracLime</v>
      </c>
      <c r="E14" s="122" t="str">
        <v>fraction of lime as limestone (CaCO3)</v>
      </c>
      <c r="F14" s="123"/>
      <c r="G14" s="113" t="str">
        <v>fraction</v>
      </c>
      <c r="H14" s="114" t="str">
        <v>Input</v>
      </c>
      <c r="I14" s="116" t="str" cm="1">
        <f t="array" aca="1" ref="I14" ca="1">HYPERLINK(Common_InputFunctions.Utility_SourceHyperlink($D$22), $D$22)</f>
        <v>Table_E_lime</v>
      </c>
    </row>
    <row r="15" spans="1:21" ht="20.100000000000001" customHeight="1" x14ac:dyDescent="0.2">
      <c r="A15" s="5" t="str">
        <f>HYPERLINK("#'Input - Electricity'!A1", "Electricity")</f>
        <v>Electricity</v>
      </c>
      <c r="D15" s="113" t="str">
        <v>P_lime</v>
      </c>
      <c r="E15" s="122" t="str">
        <v>fractional purity of limestone</v>
      </c>
      <c r="F15" s="123"/>
      <c r="G15" s="113" t="str">
        <v>fraction</v>
      </c>
      <c r="H15" s="115" t="str">
        <v>Constant</v>
      </c>
      <c r="I15" s="113">
        <f>'Constants - Fertiliser'!$E$66</f>
        <v>0.9</v>
      </c>
    </row>
    <row r="16" spans="1:21" ht="20.100000000000001" customHeight="1" x14ac:dyDescent="0.2">
      <c r="A16" s="5" t="str">
        <f>HYPERLINK("#'Input - Common farm inputs'!A1", "Common farm inputs")</f>
        <v>Common farm inputs</v>
      </c>
      <c r="D16" s="113" t="str">
        <v>EF_lime</v>
      </c>
      <c r="E16" s="122" t="str">
        <v>emission factor for limestone fraction of lime</v>
      </c>
      <c r="F16" s="123"/>
      <c r="G16" s="113" t="str">
        <v>kg C/kg</v>
      </c>
      <c r="H16" s="115" t="str">
        <v>Constant</v>
      </c>
      <c r="I16" s="113">
        <f>'Constants - Fertiliser'!$F$66</f>
        <v>0.12</v>
      </c>
    </row>
    <row r="17" spans="1:9" ht="20.100000000000001" customHeight="1" x14ac:dyDescent="0.2">
      <c r="A17" s="5" t="str">
        <f>HYPERLINK("#'Input - Livestock farm Inputs'!A1", "Livestock farm Inputs")</f>
        <v>Livestock farm Inputs</v>
      </c>
      <c r="D17" s="113" t="str">
        <v>FracDol</v>
      </c>
      <c r="E17" s="122" t="str">
        <v>fraction of lime as dolomite</v>
      </c>
      <c r="F17" s="123"/>
      <c r="G17" s="113" t="str">
        <v>fraction</v>
      </c>
      <c r="H17" s="114" t="str">
        <v>Input</v>
      </c>
      <c r="I17" s="116" t="str" cm="1">
        <f t="array" aca="1" ref="I17" ca="1">HYPERLINK(Common_InputFunctions.Utility_SourceHyperlink($D$22), $D$22)</f>
        <v>Table_E_lime</v>
      </c>
    </row>
    <row r="18" spans="1:9" ht="20.100000000000001" customHeight="1" x14ac:dyDescent="0.2">
      <c r="A18" s="5" t="str">
        <f>HYPERLINK("#'Input - Freight'!A1", "Freight")</f>
        <v>Freight</v>
      </c>
      <c r="D18" s="113" t="str">
        <v>P_dol</v>
      </c>
      <c r="E18" s="122" t="str">
        <v>fractional purity of dolomite</v>
      </c>
      <c r="F18" s="123"/>
      <c r="G18" s="113" t="str">
        <v>fraction</v>
      </c>
      <c r="H18" s="115" t="str">
        <v>Constant</v>
      </c>
      <c r="I18" s="113">
        <f>'Constants - Fertiliser'!$E$67</f>
        <v>0.95</v>
      </c>
    </row>
    <row r="19" spans="1:9" ht="20.100000000000001" customHeight="1" x14ac:dyDescent="0.2">
      <c r="A19" s="5" t="str">
        <f>HYPERLINK("#'Input - Solid waste'!A1", "Solid waste")</f>
        <v>Solid waste</v>
      </c>
      <c r="D19" s="113" t="str">
        <v>EF_dol</v>
      </c>
      <c r="E19" s="122" t="str">
        <v>emission factor for dolomite fraction of lime</v>
      </c>
      <c r="F19" s="123"/>
      <c r="G19" s="113" t="str">
        <v>kg C/kg</v>
      </c>
      <c r="H19" s="115" t="str">
        <v>Constant</v>
      </c>
      <c r="I19" s="113">
        <f>'Constants - Fertiliser'!$F$67</f>
        <v>0.13</v>
      </c>
    </row>
    <row r="20" spans="1:9" ht="20.100000000000001" customHeight="1" x14ac:dyDescent="0.2">
      <c r="A20" s="5" t="str">
        <f>HYPERLINK("#'Input - Manure sent off-site'!A1", "Manure sent off-site")</f>
        <v>Manure sent off-site</v>
      </c>
      <c r="D20" s="113" t="str">
        <v>C_CO2</v>
      </c>
      <c r="E20" s="122" t="str">
        <v>factor to convert elemental mass of carbon dioxide to molecular mass</v>
      </c>
      <c r="F20" s="123"/>
      <c r="G20" s="113" t="str">
        <v/>
      </c>
      <c r="H20" s="115" t="str">
        <v>Constant</v>
      </c>
      <c r="I20" s="126">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Data quality'!A1", "Data quality")</f>
        <v>Data quality</v>
      </c>
    </row>
    <row r="22" spans="1:9" ht="20.100000000000001" customHeight="1" x14ac:dyDescent="0.2">
      <c r="A22" s="5" t="str">
        <f>HYPERLINK("#'Input - Fert Prod System'!A1", "Fert Prod System")</f>
        <v>Fert Prod System</v>
      </c>
      <c r="D22" s="118" t="s">
        <v>809</v>
      </c>
    </row>
    <row r="23" spans="1:9" ht="20.100000000000001" customHeight="1" x14ac:dyDescent="0.2">
      <c r="A23" s="5" t="str">
        <f>HYPERLINK("#'Input - Fertiliser'!A1", "Fertiliser")</f>
        <v>Fertiliser</v>
      </c>
      <c r="D23" s="119" t="s">
        <v>731</v>
      </c>
    </row>
    <row r="24" spans="1:9" ht="20.100000000000001" customHeight="1" x14ac:dyDescent="0.2">
      <c r="D24" s="78" t="s">
        <v>810</v>
      </c>
      <c r="E24" s="78" t="s">
        <v>811</v>
      </c>
      <c r="F24" s="78" t="s">
        <v>812</v>
      </c>
      <c r="G24" s="78" t="s">
        <v>813</v>
      </c>
      <c r="H24" s="120" t="s">
        <v>814</v>
      </c>
    </row>
    <row r="25" spans="1:9" ht="20.100000000000001" customHeight="1" x14ac:dyDescent="0.2">
      <c r="D25" s="15" t="str" cm="1">
        <f t="array" ref="D25:D27">Table_Input_Lime[Product]</f>
        <v>Lime product 1</v>
      </c>
      <c r="E25" s="232" cm="1">
        <f t="array" ref="E25:E27">Table_Input_Lime[Total amount applied (t)]*10^3</f>
        <v>100000</v>
      </c>
      <c r="F25" s="156" cm="1">
        <f t="array" ref="F25:F27">Table_Input_Lime[Percent Lime CaCO3]</f>
        <v>0.8</v>
      </c>
      <c r="G25" s="156" cm="1">
        <f t="array" ref="G25:G27">Table_Input_Lime[Percent Dolomite CaMg(CO3)2]</f>
        <v>0.1</v>
      </c>
      <c r="H25" s="15" cm="1">
        <f t="array" ref="H25">Fertiliser_Equations_Lime.VEERG_5_3_1_1__1_LimeApplicationCO2Emissions(E25,F25,$I$15,$I$16,G25,$I$18,$I$19,$I$20)</f>
        <v>36.208333333333329</v>
      </c>
    </row>
    <row r="26" spans="1:9" ht="20.100000000000001" customHeight="1" x14ac:dyDescent="0.2">
      <c r="A26" s="6" t="s">
        <v>2</v>
      </c>
      <c r="D26" s="15" t="str">
        <v>Lime product 2</v>
      </c>
      <c r="E26" s="15">
        <v>100000</v>
      </c>
      <c r="F26" s="15">
        <v>1</v>
      </c>
      <c r="G26" s="15">
        <v>0</v>
      </c>
      <c r="H26" s="15" cm="1">
        <f t="array" ref="H26">Fertiliser_Equations_Lime.VEERG_5_3_1_1__1_LimeApplicationCO2Emissions(E26,F26,$I$15,$I$16,G26,$I$18,$I$19,$I$20)</f>
        <v>39.6</v>
      </c>
    </row>
    <row r="27" spans="1:9" ht="20.100000000000001" customHeight="1" x14ac:dyDescent="0.2">
      <c r="A27" s="5" t="str">
        <f>HYPERLINK("#'4.6.1.1-2 Methane'!A1", "4.6.1.1-2 Manure Methane")</f>
        <v>4.6.1.1-2 Manure Methane</v>
      </c>
      <c r="D27" s="15" t="str">
        <v>Lime product 3</v>
      </c>
      <c r="E27" s="15">
        <v>100000</v>
      </c>
      <c r="F27" s="15">
        <v>0</v>
      </c>
      <c r="G27" s="15">
        <v>0</v>
      </c>
      <c r="H27" s="15" cm="1">
        <f t="array" ref="H27">Fertiliser_Equations_Lime.VEERG_5_3_1_1__1_LimeApplicationCO2Emissions(E27,F27,$I$15,$I$16,G27,$I$18,$I$19,$I$20)</f>
        <v>0</v>
      </c>
    </row>
    <row r="28" spans="1:9" ht="20.100000000000001" customHeight="1" x14ac:dyDescent="0.2">
      <c r="A28" s="5" t="str">
        <f>HYPERLINK("#'4.6.1.3-4 Direct N20'!A1", "4.6.1.3-4 Manure Direct N2O")</f>
        <v>4.6.1.3-4 Manure Direct N2O</v>
      </c>
      <c r="D28" s="15"/>
      <c r="E28" s="15"/>
      <c r="F28" s="15"/>
      <c r="G28" s="15"/>
      <c r="H28" s="15" cm="1">
        <f t="array" ref="H28">Fertiliser_Equations_Lime.VEERG_5_3_1_1__1_LimeApplicationCO2Emissions(E28,F28,$I$15,$I$16,G28,$I$18,$I$19,$I$20)</f>
        <v>0</v>
      </c>
    </row>
    <row r="29" spans="1:9" ht="20.100000000000001" customHeight="1" x14ac:dyDescent="0.2">
      <c r="A29" s="5" t="str">
        <f>HYPERLINK("#'4.6.1.5-6 Atmos Dep'!A1", "4.6.1.5-6 Manure Atmos Dep")</f>
        <v>4.6.1.5-6 Manure Atmos Dep</v>
      </c>
      <c r="D29" s="15"/>
      <c r="E29" s="15"/>
      <c r="F29" s="15"/>
      <c r="G29" s="15"/>
      <c r="H29" s="15" cm="1">
        <f t="array" ref="H29">Fertiliser_Equations_Lime.VEERG_5_3_1_1__1_LimeApplicationCO2Emissions(E29,F29,$I$15,$I$16,G29,$I$18,$I$19,$I$20)</f>
        <v>0</v>
      </c>
    </row>
    <row r="30" spans="1:9" ht="20.100000000000001" customHeight="1" x14ac:dyDescent="0.2">
      <c r="A30" s="5" t="str">
        <f>HYPERLINK("#'4.6.1.7-8 Leaching and runoff'!A1", "4.6.1.7-8 Manure Leaching and runoff")</f>
        <v>4.6.1.7-8 Manure Leaching and runoff</v>
      </c>
    </row>
    <row r="31" spans="1:9" ht="20.100000000000001" customHeight="1" x14ac:dyDescent="0.2">
      <c r="A31" s="5" t="str">
        <f>HYPERLINK("#'4.6.1.9 Manure applied to soils'!A1", "4.6.1.9 Manure applied to soils")</f>
        <v>4.6.1.9 Manure applied to soils</v>
      </c>
      <c r="D31" s="85" t="s">
        <v>815</v>
      </c>
      <c r="E31" s="86">
        <f>SUM(H25:H29)</f>
        <v>75.808333333333337</v>
      </c>
      <c r="F31" s="233" t="s">
        <v>127</v>
      </c>
    </row>
    <row r="32" spans="1:9"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117"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666D-C302-4271-BAC6-857F422266A7}">
  <sheetPr>
    <tabColor rgb="FF008000"/>
  </sheetPr>
  <dimension ref="A1:U151"/>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816</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
      <c r="D6" s="17" t="str" cm="1">
        <f t="array" ref="D6">Fertiliser_Equations_AtmosphericDeposition.VEERG_5_4_1_1__2_MassOfNitrogenVolatilisedFromInorganicFertiliser_Source()</f>
        <v>VEERG 2026: 5.4.1.1, Equation (2)</v>
      </c>
    </row>
    <row r="7" spans="1:21" ht="20.100000000000001" customHeight="1" x14ac:dyDescent="0.2">
      <c r="D7" s="112" t="s">
        <v>328</v>
      </c>
      <c r="E7" s="112" t="str" cm="1">
        <f t="array" aca="1" ref="E7" ca="1">Common_InputFunctions.Utility_DisplayFunctionName(H19)</f>
        <v>=Fertiliser_Equations_AtmosphericDeposition.VEERG_5_4_1_1__2_MassOfNitrogenVolatilisedFromInorganicFertiliser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329</v>
      </c>
      <c r="E10" s="1" t="str" cm="1">
        <f t="array" ref="E10">Fertiliser_Equations_AtmosphericDeposition.VEERG_5_4_1_1__2_MassOfNitrogenVolatilisedFromInorganicFertiliser_Variable()</f>
        <v>M_volinorganicjf</v>
      </c>
    </row>
    <row r="11" spans="1:21" ht="20.100000000000001" customHeight="1" x14ac:dyDescent="0.2">
      <c r="A11" s="5" t="str">
        <f>HYPERLINK("#'Input - Poultry'!A1", "Poultry")</f>
        <v>Poultry</v>
      </c>
      <c r="D11" s="75" t="s">
        <v>118</v>
      </c>
      <c r="E11" s="9" t="str" cm="1">
        <f t="array" ref="E11">Fertiliser_Equations_AtmosphericDeposition.VEERG_5_4_1_1__2_MassOfNitrogenVolatilisedFromInorganicFertiliser_Unit()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tr" cm="1">
        <f t="array" ref="D13:E14">_xlfn.CHOOSECOLS(Fertiliser_Equations_AtmosphericDeposition.VEERG_5_4_1_1__2_MassOfNitrogenVolatilisedFromInorganicFertiliser_Arguments(), 1, 2)</f>
        <v>MN_jf</v>
      </c>
      <c r="E13" s="122" t="str">
        <v>mass of nitrogen in inorganic fertiliser applied</v>
      </c>
      <c r="F13" s="123"/>
      <c r="G13" s="113" t="str" cm="1">
        <f t="array" ref="G13:H14">_xlfn.CHOOSECOLS(Fertiliser_Equations_AtmosphericDeposition.VEERG_5_4_1_1__2_MassOfNitrogenVolatilisedFromInorganicFertiliser_Arguments(), 3,4)</f>
        <v>kg N</v>
      </c>
      <c r="H13" s="115" t="str">
        <v>Calculated from 5.1.1.1 (2)</v>
      </c>
      <c r="I13" s="116" t="str" cm="1">
        <f t="array" aca="1" ref="I13" ca="1">HYPERLINK(Common_InputFunctions.Utility_SourceHyperlink($D$16),$D$16)</f>
        <v>Table_M_vol_inorganic_j_f</v>
      </c>
    </row>
    <row r="14" spans="1:21" ht="20.100000000000001" customHeight="1" x14ac:dyDescent="0.2">
      <c r="A14" s="5" t="str">
        <f>HYPERLINK("#'Input - Fuel'!A1", "Fuel")</f>
        <v>Fuel</v>
      </c>
      <c r="D14" s="113" t="str">
        <v>FracGASF_f</v>
      </c>
      <c r="E14" s="122" t="str">
        <v>fraction of inorganic fertiliser that volatilises</v>
      </c>
      <c r="F14" s="123"/>
      <c r="G14" s="113" t="str">
        <v>(kg NH3-N + NOx-N)/kg N</v>
      </c>
      <c r="H14" s="115" t="str">
        <v>Constant</v>
      </c>
      <c r="I14" s="116"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8" t="s">
        <v>817</v>
      </c>
    </row>
    <row r="17" spans="1:8" ht="20.100000000000001" customHeight="1" x14ac:dyDescent="0.2">
      <c r="A17" s="5" t="str">
        <f>HYPERLINK("#'Input - Livestock farm Inputs'!A1", "Livestock farm Inputs")</f>
        <v>Livestock farm Inputs</v>
      </c>
      <c r="D17" s="119" t="s">
        <v>818</v>
      </c>
    </row>
    <row r="18" spans="1:8" ht="20.100000000000001" customHeight="1" x14ac:dyDescent="0.2">
      <c r="A18" s="5" t="str">
        <f>HYPERLINK("#'Input - Freight'!A1", "Freight")</f>
        <v>Freight</v>
      </c>
      <c r="D18" s="120" t="s">
        <v>819</v>
      </c>
      <c r="E18" s="120" t="s">
        <v>820</v>
      </c>
      <c r="F18" s="120" t="s">
        <v>821</v>
      </c>
      <c r="G18" s="234" t="s">
        <v>822</v>
      </c>
      <c r="H18" s="234" t="s">
        <v>823</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
      <c r="A20" s="5" t="str">
        <f>HYPERLINK("#'Input - Manure sent off-site'!A1", "Manure sent off-site")</f>
        <v>Manure sent off-site</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
      <c r="A21" s="5" t="str">
        <f>HYPERLINK("#'Input - Data quality'!A1", "Data quality")</f>
        <v>Data quality</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1739.99991</v>
      </c>
    </row>
    <row r="22" spans="1:8" ht="20.100000000000001" customHeight="1" x14ac:dyDescent="0.2">
      <c r="A22" s="5" t="str">
        <f>HYPERLINK("#'Input - Fert Prod System'!A1", "Fert Prod System")</f>
        <v>Fert Prod System</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
      <c r="A23" s="5" t="str">
        <f>HYPERLINK("#'Input - Fertiliser'!A1", "Fertiliser")</f>
        <v>Fertiliser</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
      <c r="A26" s="6" t="s">
        <v>2</v>
      </c>
      <c r="D26" s="15" t="str">
        <v>Nitrogen - Ammoniacal</v>
      </c>
      <c r="E26" s="15">
        <f>INDEX(Table_MN_j_f,9,4)</f>
        <v>1240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99.2</v>
      </c>
    </row>
    <row r="27" spans="1:8" ht="20.100000000000001" customHeight="1" x14ac:dyDescent="0.2">
      <c r="A27" s="5" t="str">
        <f>HYPERLINK("#'4.6.1.1-2 Methane'!A1", "4.6.1.1-2 Manure Methane")</f>
        <v>4.6.1.1-2 Manure Methane</v>
      </c>
      <c r="D27" s="15" t="str">
        <v>Nitrogen - Nitrate</v>
      </c>
      <c r="E27" s="15">
        <f>INDEX(Table_MN_j_f,10,4)</f>
        <v>550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5.5</v>
      </c>
    </row>
    <row r="28" spans="1:8" ht="20.100000000000001" customHeight="1" x14ac:dyDescent="0.2">
      <c r="A28" s="5" t="str">
        <f>HYPERLINK("#'4.6.1.3-4 Direct N20'!A1", "4.6.1.3-4 Manure Direct N2O")</f>
        <v>4.6.1.3-4 Manure Direct N2O</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
      <c r="A29" s="5" t="str">
        <f>HYPERLINK("#'4.6.1.5-6 Atmos Dep'!A1", "4.6.1.5-6 Manure Atmos Dep")</f>
        <v>4.6.1.5-6 Manure Atmos Dep</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
      <c r="A30" s="5" t="str">
        <f>HYPERLINK("#'4.6.1.7-8 Leaching and runoff'!A1", "4.6.1.7-8 Manure Leaching and runoff")</f>
        <v>4.6.1.7-8 Manure Leaching and runoff</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
      <c r="A31" s="5" t="str">
        <f>HYPERLINK("#'4.6.1.9 Manure applied to soils'!A1", "4.6.1.9 Manure applied to soils")</f>
        <v>4.6.1.9 Manure applied to soils</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
      <c r="A32" s="5" t="str">
        <f>HYPERLINK("#'4.6.1.10-11 Soil direct N2O'!A1", "4.6.1.10-11 Soil direct N2O")</f>
        <v>4.6.1.10-11 Soil direct N2O</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
      <c r="A33" s="5" t="str">
        <f>HYPERLINK("#'4.6.1.12-13 Soil atmos dep'!A1", "4.6.1.12-13 Soil atmos dep")</f>
        <v>4.6.1.12-13 Soil atmos dep</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
      <c r="A34" s="5" t="str">
        <f>HYPERLINK("#'4.6.1.14-15 Soil leach runoff'!A1", "4.6.1.14-15 Soil leach runoff")</f>
        <v>4.6.1.14-15 Soil leach runoff</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
      <c r="A35" s="5" t="str">
        <f>HYPERLINK("#'8.1.1.1-2 Transport fuel'!A1", "8.1.1.1-2 Transport fuel")</f>
        <v>8.1.1.1-2 Transport fuel</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
      <c r="A36" s="5" t="str">
        <f>HYPERLINK("#'8.2.1.1-2 Stationary fuel'!A1", "8.2.1.1-2 Stationary fuel")</f>
        <v>8.2.1.1-2 Stationary fuel</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329.40000000000003</v>
      </c>
    </row>
    <row r="37" spans="1:12" ht="20.100000000000001" customHeight="1" x14ac:dyDescent="0.2">
      <c r="A37" s="5" t="str">
        <f>HYPERLINK("#'10.1.1-2 Solid waste treatment'!A1", "10.1.1.1-2 Solid waste")</f>
        <v>10.1.1.1-2 Solid waste</v>
      </c>
      <c r="D37" s="15" t="str">
        <v>Calcium nitrate</v>
      </c>
      <c r="E37" s="15">
        <f>INDEX(Table_MN_j_f,20,4)</f>
        <v>775</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7.75</v>
      </c>
    </row>
    <row r="38" spans="1:12" ht="20.100000000000001" customHeight="1" x14ac:dyDescent="0.2">
      <c r="A38" s="5" t="str">
        <f>HYPERLINK("#'14.1.1-2 Purchased electricity'!A1", "14.1.1-2 Purchased electricity")</f>
        <v>14.1.1-2 Purchased electricity</v>
      </c>
    </row>
    <row r="39" spans="1:12" ht="20.100000000000001" customHeight="1" x14ac:dyDescent="0.2">
      <c r="A39" s="5" t="str">
        <f>HYPERLINK("#'15 Scope 3'!A1", "15 Scope 3")</f>
        <v>15 Scope 3</v>
      </c>
    </row>
    <row r="40" spans="1:12" ht="20.100000000000001" customHeight="1" x14ac:dyDescent="0.2">
      <c r="A40" s="5" t="str">
        <f>HYPERLINK("#'Calcs - Manure sent off-site'!A1", "Calcs - Manure sent off-site")</f>
        <v>Calcs - Manure sent off-site</v>
      </c>
      <c r="C40" s="231"/>
      <c r="D40" s="231"/>
      <c r="E40" s="231"/>
      <c r="F40" s="231"/>
      <c r="G40" s="231"/>
      <c r="H40" s="231"/>
      <c r="I40" s="231"/>
      <c r="J40" s="231"/>
      <c r="K40" s="231"/>
      <c r="L40" s="231"/>
    </row>
    <row r="41" spans="1:12" ht="20.100000000000001" customHeight="1" x14ac:dyDescent="0.2">
      <c r="A41" s="5" t="str">
        <f>HYPERLINK("#'5.1.1.1-2 Inorganic fert N2O'!A1", "5.1.1.1-2 Inorganic fert N2O")</f>
        <v>5.1.1.1-2 Inorganic fert N2O</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
      <c r="A42" s="5" t="str">
        <f>HYPERLINK("#'5.1.1.3-4 Inorganic fert CO2'!A1", "5.1.1.3-4 Inorganic fert CO2")</f>
        <v>5.1.1.3-4 Inorganic fert CO2</v>
      </c>
      <c r="D42" s="17" t="str" cm="1">
        <f t="array" ref="D42">Fertiliser_Equations_AtmosphericDeposition.VEERG_5_4_1_1__1_InorganicFertiliserAtmosphericDepositionN2OEmissions_Source()</f>
        <v>VEERG 2026: 5.4.1.1, Equation (1)</v>
      </c>
    </row>
    <row r="43" spans="1:12" ht="20.100000000000001" customHeight="1" x14ac:dyDescent="0.2">
      <c r="A43" s="5" t="str">
        <f>HYPERLINK("#'5.2.1.1-2 Organic Fert N2O'!A1", "5.2.1.1-2 Organic Fert N2O")</f>
        <v>5.2.1.1-2 Organic Fert N2O</v>
      </c>
      <c r="D43" s="112" t="s">
        <v>328</v>
      </c>
      <c r="E43" s="112" t="str" cm="1">
        <f t="array" aca="1" ref="E43" ca="1">Common_InputFunctions.Utility_DisplayFunctionName(F59)</f>
        <v>=Fertiliser_Equations_AtmosphericDeposition.VEERG_5_4_1_1__1_InorganicFertiliserAtmosphericDepositionN2OEmissions</v>
      </c>
    </row>
    <row r="44" spans="1:12" ht="20.100000000000001" customHeight="1" x14ac:dyDescent="0.2">
      <c r="A44" s="5" t="str">
        <f>HYPERLINK("#'5.3.1.1-2 Lime CO2'!A1", "5.3.1.1-2 Lime CO2")</f>
        <v>5.3.1.1-2 Lime CO2</v>
      </c>
    </row>
    <row r="45" spans="1:12" ht="20.100000000000001" customHeight="1" x14ac:dyDescent="0.2">
      <c r="A45" s="117" t="str">
        <f>HYPERLINK("#'5.4.1.1-4 Atmos deposition'!A1", "5.4.1.1-4 Atmos deposition")</f>
        <v>5.4.1.1-4 Atmos deposition</v>
      </c>
    </row>
    <row r="46" spans="1:12" ht="20.100000000000001" customHeight="1" x14ac:dyDescent="0.2">
      <c r="A46" s="5" t="str">
        <f>HYPERLINK("#'5.5.1.1-2 Leaching and runoff'!A1", "5.5.1.1-2 Leaching and runoff")</f>
        <v>5.5.1.1-2 Leaching and runoff</v>
      </c>
      <c r="D46" s="75" t="s">
        <v>329</v>
      </c>
      <c r="E46" s="1" t="str" cm="1">
        <f t="array" ref="E46">Fertiliser_Equations_AtmosphericDeposition.VEERG_5_4_1_1__1_InorganicFertiliserAtmosphericDepositionN2OEmissions_Variable()</f>
        <v>E_adinorganic</v>
      </c>
    </row>
    <row r="47" spans="1:12" ht="20.100000000000001" customHeight="1" x14ac:dyDescent="0.2">
      <c r="D47" s="75" t="s">
        <v>118</v>
      </c>
      <c r="E47" s="9" t="str" cm="1">
        <f t="array" ref="E47">Fertiliser_Equations_AtmosphericDeposition.VEERG_5_4_1_1__1_InorganicFertiliserAtmosphericDepositionN2OEmissions_Unit()</f>
        <v>t N2O</v>
      </c>
    </row>
    <row r="49" spans="1:10" ht="20.100000000000001" customHeight="1" x14ac:dyDescent="0.2">
      <c r="A49" s="80" t="s">
        <v>1</v>
      </c>
      <c r="D49" s="113" t="str" cm="1">
        <f t="array" ref="D49:E54">_xlfn.CHOOSECOLS(Fertiliser_Equations_AtmosphericDeposition.VEERG_5_4_1_1__1_InorganicFertiliserAtmosphericDepositionN2OEmissions_Arguments(), 1, 2)</f>
        <v>M_volinorganicjf</v>
      </c>
      <c r="E49" s="122" t="str">
        <v>mass of nitrogen volatilised from inorganic fertiliser applied to production system</v>
      </c>
      <c r="F49" s="136"/>
      <c r="G49" s="123"/>
      <c r="H49" s="113" t="str" cm="1">
        <f t="array" ref="H49:I54">_xlfn.CHOOSECOLS(Fertiliser_Equations_AtmosphericDeposition.VEERG_5_4_1_1__1_InorganicFertiliserAtmosphericDepositionN2OEmissions_Arguments(), 3,4)</f>
        <v>kg N</v>
      </c>
      <c r="I49" s="115" t="str">
        <v>Calculated from 5.4.1.1 (2)</v>
      </c>
      <c r="J49" s="116" t="str" cm="1">
        <f t="array" aca="1" ref="J49" ca="1">HYPERLINK(Common_InputFunctions.Utility_SourceHyperlink($D$16),$D$16)</f>
        <v>Table_M_vol_inorganic_j_f</v>
      </c>
    </row>
    <row r="50" spans="1:10" ht="20.100000000000001" customHeight="1" x14ac:dyDescent="0.2">
      <c r="A50" s="5" t="str">
        <f>HYPERLINK("#'Constants - Poultry'!A1", "Constants - Poultry")</f>
        <v>Constants - Poultry</v>
      </c>
      <c r="D50" s="113" t="str">
        <v>EF_N2Oj</v>
      </c>
      <c r="E50" s="122" t="str">
        <v>emission factor for atmospheric deposition</v>
      </c>
      <c r="F50" s="136"/>
      <c r="G50" s="123"/>
      <c r="H50" s="113" t="str">
        <v>kg N2O-N/kg N</v>
      </c>
      <c r="I50" s="115" t="str">
        <v>Constant</v>
      </c>
      <c r="J50" s="113">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A51" s="5" t="str">
        <f>HYPERLINK("#'Constants - Common livestock'!A1", "Constants - Common Livestock")</f>
        <v>Constants - Common Livestock</v>
      </c>
      <c r="D51" s="113" t="str">
        <v>C_N2O</v>
      </c>
      <c r="E51" s="122" t="str">
        <v>factor to convert elemental mass of nitrous oxide to molecular mass</v>
      </c>
      <c r="F51" s="136"/>
      <c r="G51" s="123"/>
      <c r="H51" s="113" t="str">
        <v/>
      </c>
      <c r="I51" s="115" t="str">
        <v>Constant</v>
      </c>
      <c r="J51" s="126">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Electricity'!A1", "Constants - Electricity")</f>
        <v>Constants - Electricity</v>
      </c>
      <c r="D52" s="113" t="str">
        <v>j</v>
      </c>
      <c r="E52" s="122" t="str">
        <v>Production system</v>
      </c>
      <c r="F52" s="136"/>
      <c r="G52" s="123"/>
      <c r="H52" s="113" t="str">
        <v/>
      </c>
      <c r="I52" s="114" t="str">
        <v>Input</v>
      </c>
      <c r="J52" s="113" t="str">
        <f>X_Cell_Fertiliser_ProductionSystem</f>
        <v>Crop</v>
      </c>
    </row>
    <row r="53" spans="1:10" ht="20.100000000000001" customHeight="1" x14ac:dyDescent="0.2">
      <c r="A53" s="5" t="str">
        <f>HYPERLINK("#'Constants - Fertiliser'!A1", "Constants - Fertiliser")</f>
        <v>Constants - Fertiliser</v>
      </c>
      <c r="D53" s="113" t="str">
        <v>ir</v>
      </c>
      <c r="E53" s="122" t="str">
        <v>irrigation method</v>
      </c>
      <c r="F53" s="136"/>
      <c r="G53" s="123"/>
      <c r="H53" s="113" t="str">
        <v/>
      </c>
      <c r="I53" s="114" t="str">
        <v>Input</v>
      </c>
      <c r="J53" s="113" t="str">
        <f>X_Cell_Fertiliser_IrrigationMethod</f>
        <v>Drip irrigation</v>
      </c>
    </row>
    <row r="54" spans="1:10" ht="20.100000000000001" customHeight="1" x14ac:dyDescent="0.2">
      <c r="A54" s="5" t="str">
        <f>HYPERLINK("#'Constants - Fuel'!A1", "Constants - Fuel")</f>
        <v>Constants - Fuel</v>
      </c>
      <c r="D54" s="113" t="str">
        <v>r</v>
      </c>
      <c r="E54" s="122" t="str">
        <v>rainfall region</v>
      </c>
      <c r="F54" s="136"/>
      <c r="G54" s="123"/>
      <c r="H54" s="113" t="str">
        <v/>
      </c>
      <c r="I54" s="114" t="str">
        <v>Input</v>
      </c>
      <c r="J54" s="113" t="str">
        <f>X_Cell_Site_RainfallZone</f>
        <v>High rainfall</v>
      </c>
    </row>
    <row r="55" spans="1:10" ht="20.100000000000001" customHeight="1" x14ac:dyDescent="0.2">
      <c r="A55" s="5" t="str">
        <f>HYPERLINK("#'Constants - Scope 3'!A1", "Constants - Scope 3")</f>
        <v>Constants - Scope 3</v>
      </c>
    </row>
    <row r="56" spans="1:10" ht="20.100000000000001" customHeight="1" x14ac:dyDescent="0.2">
      <c r="A56" s="5" t="str">
        <f>HYPERLINK("#'Constants - Solid Waste'!A1", "Constants - Solid Waste")</f>
        <v>Constants - Solid Waste</v>
      </c>
      <c r="D56" s="118" t="s">
        <v>824</v>
      </c>
    </row>
    <row r="57" spans="1:10" ht="20.100000000000001" customHeight="1" x14ac:dyDescent="0.2">
      <c r="A57" s="5" t="str">
        <f>HYPERLINK("#'Constants - Common'!A1", "Constants - Common")</f>
        <v>Constants - Common</v>
      </c>
      <c r="D57" s="119" t="s">
        <v>825</v>
      </c>
    </row>
    <row r="58" spans="1:10" ht="20.100000000000001" customHeight="1" x14ac:dyDescent="0.2">
      <c r="D58" s="120" t="s">
        <v>819</v>
      </c>
      <c r="E58" s="234" t="s">
        <v>823</v>
      </c>
      <c r="F58" s="234" t="s">
        <v>826</v>
      </c>
    </row>
    <row r="59" spans="1:10" ht="20.100000000000001" customHeight="1" x14ac:dyDescent="0.2">
      <c r="D59" s="15" t="str" cm="1">
        <f t="array" ref="D59:D77">Table_Fertiliser_ChemicalCompounds[Fertiliser type f]</f>
        <v>Monoammonium phosphate (MAP)</v>
      </c>
      <c r="E59" s="15">
        <f t="shared" ref="E59:E77" si="0">H19</f>
        <v>0</v>
      </c>
      <c r="F59" s="15" cm="1">
        <f t="array" ref="F59">Fertiliser_Equations_AtmosphericDeposition.VEERG_5_4_1_1__1_InorganicFertiliserAtmosphericDepositionN2OEmissions(E59,$J$50,$J$51)</f>
        <v>0</v>
      </c>
      <c r="G59" s="16" t="str">
        <f>E47</f>
        <v>t N2O</v>
      </c>
    </row>
    <row r="60" spans="1:10" ht="20.100000000000001" customHeight="1" x14ac:dyDescent="0.2">
      <c r="D60" s="15" t="str">
        <v>Diammonium phosphate (DAP)</v>
      </c>
      <c r="E60" s="15">
        <f t="shared" si="0"/>
        <v>0</v>
      </c>
      <c r="F60" s="15" cm="1">
        <f t="array" ref="F60">Fertiliser_Equations_AtmosphericDeposition.VEERG_5_4_1_1__1_InorganicFertiliserAtmosphericDepositionN2OEmissions(E60,$J$50,$J$51)</f>
        <v>0</v>
      </c>
    </row>
    <row r="61" spans="1:10" ht="20.100000000000001" customHeight="1" x14ac:dyDescent="0.2">
      <c r="D61" s="15" t="str">
        <v>Urea</v>
      </c>
      <c r="E61" s="15">
        <f t="shared" si="0"/>
        <v>1739.99991</v>
      </c>
      <c r="F61" s="15" cm="1">
        <f t="array" ref="F61">Fertiliser_Equations_AtmosphericDeposition.VEERG_5_4_1_1__1_InorganicFertiliserAtmosphericDepositionN2OEmissions(E61,$J$50,$J$51)</f>
        <v>1.9139999010000002E-2</v>
      </c>
    </row>
    <row r="62" spans="1:10" ht="20.100000000000001" customHeight="1" x14ac:dyDescent="0.2">
      <c r="D62" s="15" t="str">
        <v>Sulphate of ammonia (SOA)</v>
      </c>
      <c r="E62" s="15">
        <f t="shared" si="0"/>
        <v>0</v>
      </c>
      <c r="F62" s="15" cm="1">
        <f t="array" ref="F62">Fertiliser_Equations_AtmosphericDeposition.VEERG_5_4_1_1__1_InorganicFertiliserAtmosphericDepositionN2OEmissions(E62,$J$50,$J$51)</f>
        <v>0</v>
      </c>
    </row>
    <row r="63" spans="1:10" ht="20.100000000000001" customHeight="1" x14ac:dyDescent="0.2">
      <c r="D63" s="15" t="str">
        <v>Urea-ammonium nitrate (UAN)</v>
      </c>
      <c r="E63" s="15">
        <f t="shared" si="0"/>
        <v>0</v>
      </c>
      <c r="F63" s="15" cm="1">
        <f t="array" ref="F63">Fertiliser_Equations_AtmosphericDeposition.VEERG_5_4_1_1__1_InorganicFertiliserAtmosphericDepositionN2OEmissions(E63,$J$50,$J$51)</f>
        <v>0</v>
      </c>
    </row>
    <row r="64" spans="1:10" ht="20.100000000000001" customHeight="1" x14ac:dyDescent="0.2">
      <c r="D64" s="15" t="str">
        <v>Ammonium nitrate (AN)</v>
      </c>
      <c r="E64" s="15">
        <f t="shared" si="0"/>
        <v>0</v>
      </c>
      <c r="F64" s="15" cm="1">
        <f t="array" ref="F64">Fertiliser_Equations_AtmosphericDeposition.VEERG_5_4_1_1__1_InorganicFertiliserAtmosphericDepositionN2OEmissions(E64,$J$50,$J$51)</f>
        <v>0</v>
      </c>
    </row>
    <row r="65" spans="1:6" ht="20.100000000000001" customHeight="1" x14ac:dyDescent="0.2">
      <c r="D65" s="15" t="str">
        <v>Calcium ammonium nitrate (CAN)</v>
      </c>
      <c r="E65" s="15">
        <f t="shared" si="0"/>
        <v>0</v>
      </c>
      <c r="F65" s="15" cm="1">
        <f t="array" ref="F65">Fertiliser_Equations_AtmosphericDeposition.VEERG_5_4_1_1__1_InorganicFertiliserAtmosphericDepositionN2OEmissions(E65,$J$50,$J$51)</f>
        <v>0</v>
      </c>
    </row>
    <row r="66" spans="1:6" ht="20.100000000000001" customHeight="1" x14ac:dyDescent="0.2">
      <c r="D66" s="15" t="str">
        <v>Nitrogen - Ammoniacal</v>
      </c>
      <c r="E66" s="15">
        <f t="shared" si="0"/>
        <v>99.2</v>
      </c>
      <c r="F66" s="15" cm="1">
        <f t="array" ref="F66">Fertiliser_Equations_AtmosphericDeposition.VEERG_5_4_1_1__1_InorganicFertiliserAtmosphericDepositionN2OEmissions(E66,$J$50,$J$51)</f>
        <v>1.0912000000000001E-3</v>
      </c>
    </row>
    <row r="67" spans="1:6" ht="20.100000000000001" customHeight="1" x14ac:dyDescent="0.2">
      <c r="D67" s="15" t="str">
        <v>Nitrogen - Nitrate</v>
      </c>
      <c r="E67" s="15">
        <f t="shared" si="0"/>
        <v>5.5</v>
      </c>
      <c r="F67" s="15" cm="1">
        <f t="array" ref="F67">Fertiliser_Equations_AtmosphericDeposition.VEERG_5_4_1_1__1_InorganicFertiliserAtmosphericDepositionN2OEmissions(E67,$J$50,$J$51)</f>
        <v>6.05E-5</v>
      </c>
    </row>
    <row r="68" spans="1:6" ht="20.100000000000001" customHeight="1" x14ac:dyDescent="0.2">
      <c r="A68" s="79" t="str">
        <f>HYPERLINK("#A1", "▲ Back to top")</f>
        <v>▲ Back to top</v>
      </c>
      <c r="D68" s="15" t="str">
        <v>Nitrogen - Generic</v>
      </c>
      <c r="E68" s="15">
        <f t="shared" si="0"/>
        <v>0</v>
      </c>
      <c r="F68" s="15" cm="1">
        <f t="array" ref="F68">Fertiliser_Equations_AtmosphericDeposition.VEERG_5_4_1_1__1_InorganicFertiliserAtmosphericDepositionN2OEmissions(E68,$J$50,$J$51)</f>
        <v>0</v>
      </c>
    </row>
    <row r="69" spans="1:6" ht="20.100000000000001" customHeight="1" x14ac:dyDescent="0.2">
      <c r="D69" s="15" t="str">
        <v>Phosphorus - Generic</v>
      </c>
      <c r="E69" s="15">
        <f t="shared" si="0"/>
        <v>0</v>
      </c>
      <c r="F69" s="15" cm="1">
        <f t="array" ref="F69">Fertiliser_Equations_AtmosphericDeposition.VEERG_5_4_1_1__1_InorganicFertiliserAtmosphericDepositionN2OEmissions(E69,$J$50,$J$51)</f>
        <v>0</v>
      </c>
    </row>
    <row r="70" spans="1:6" ht="20.100000000000001" customHeight="1" x14ac:dyDescent="0.2">
      <c r="D70" s="15" t="str">
        <v>Potassium - Generic</v>
      </c>
      <c r="E70" s="15">
        <f t="shared" si="0"/>
        <v>0</v>
      </c>
      <c r="F70" s="15" cm="1">
        <f t="array" ref="F70">Fertiliser_Equations_AtmosphericDeposition.VEERG_5_4_1_1__1_InorganicFertiliserAtmosphericDepositionN2OEmissions(E70,$J$50,$J$51)</f>
        <v>0</v>
      </c>
    </row>
    <row r="71" spans="1:6" ht="20.100000000000001" customHeight="1" x14ac:dyDescent="0.2">
      <c r="D71" s="15" t="str">
        <v>Sulfur - Generic</v>
      </c>
      <c r="E71" s="15">
        <f t="shared" si="0"/>
        <v>0</v>
      </c>
      <c r="F71" s="15" cm="1">
        <f t="array" ref="F71">Fertiliser_Equations_AtmosphericDeposition.VEERG_5_4_1_1__1_InorganicFertiliserAtmosphericDepositionN2OEmissions(E71,$J$50,$J$51)</f>
        <v>0</v>
      </c>
    </row>
    <row r="72" spans="1:6" ht="20.100000000000001" customHeight="1" x14ac:dyDescent="0.2">
      <c r="D72" s="15" t="str">
        <v>Zinc - Generic</v>
      </c>
      <c r="E72" s="15">
        <f t="shared" si="0"/>
        <v>0</v>
      </c>
      <c r="F72" s="15" cm="1">
        <f t="array" ref="F72">Fertiliser_Equations_AtmosphericDeposition.VEERG_5_4_1_1__1_InorganicFertiliserAtmosphericDepositionN2OEmissions(E72,$J$50,$J$51)</f>
        <v>0</v>
      </c>
    </row>
    <row r="73" spans="1:6" ht="20.100000000000001" customHeight="1" x14ac:dyDescent="0.2">
      <c r="D73" s="15" t="str">
        <v>Muriate of potash (MOP)</v>
      </c>
      <c r="E73" s="15">
        <f t="shared" si="0"/>
        <v>0</v>
      </c>
      <c r="F73" s="15" cm="1">
        <f t="array" ref="F73">Fertiliser_Equations_AtmosphericDeposition.VEERG_5_4_1_1__1_InorganicFertiliserAtmosphericDepositionN2OEmissions(E73,$J$50,$J$51)</f>
        <v>0</v>
      </c>
    </row>
    <row r="74" spans="1:6" ht="20.100000000000001" customHeight="1" x14ac:dyDescent="0.2">
      <c r="D74" s="15" t="str">
        <v>Double superphosphate</v>
      </c>
      <c r="E74" s="15">
        <f t="shared" si="0"/>
        <v>0</v>
      </c>
      <c r="F74" s="15" cm="1">
        <f t="array" ref="F74">Fertiliser_Equations_AtmosphericDeposition.VEERG_5_4_1_1__1_InorganicFertiliserAtmosphericDepositionN2OEmissions(E74,$J$50,$J$51)</f>
        <v>0</v>
      </c>
    </row>
    <row r="75" spans="1:6" ht="20.100000000000001" customHeight="1" x14ac:dyDescent="0.2">
      <c r="D75" s="15" t="str">
        <v>Single superphosphate (SSP)</v>
      </c>
      <c r="E75" s="15">
        <f t="shared" si="0"/>
        <v>0</v>
      </c>
      <c r="F75" s="15" cm="1">
        <f t="array" ref="F75">Fertiliser_Equations_AtmosphericDeposition.VEERG_5_4_1_1__1_InorganicFertiliserAtmosphericDepositionN2OEmissions(E75,$J$50,$J$51)</f>
        <v>0</v>
      </c>
    </row>
    <row r="76" spans="1:6" ht="20.100000000000001" customHeight="1" x14ac:dyDescent="0.2">
      <c r="D76" s="15" t="str">
        <v>Ammonia</v>
      </c>
      <c r="E76" s="15">
        <f t="shared" si="0"/>
        <v>329.40000000000003</v>
      </c>
      <c r="F76" s="15" cm="1">
        <f t="array" ref="F76">Fertiliser_Equations_AtmosphericDeposition.VEERG_5_4_1_1__1_InorganicFertiliserAtmosphericDepositionN2OEmissions(E76,$J$50,$J$51)</f>
        <v>3.6234000000000001E-3</v>
      </c>
    </row>
    <row r="77" spans="1:6" ht="20.100000000000001" customHeight="1" x14ac:dyDescent="0.2">
      <c r="D77" s="15" t="str">
        <v>Calcium nitrate</v>
      </c>
      <c r="E77" s="15">
        <f t="shared" si="0"/>
        <v>7.75</v>
      </c>
      <c r="F77" s="15" cm="1">
        <f t="array" ref="F77">Fertiliser_Equations_AtmosphericDeposition.VEERG_5_4_1_1__1_InorganicFertiliserAtmosphericDepositionN2OEmissions(E77,$J$50,$J$51)</f>
        <v>8.5249999999999999E-5</v>
      </c>
    </row>
    <row r="79" spans="1:6" ht="20.100000000000001" customHeight="1" x14ac:dyDescent="0.2">
      <c r="D79" s="85" t="s">
        <v>827</v>
      </c>
      <c r="E79" s="86">
        <f>SUM(F59:F77)</f>
        <v>2.4000349010000002E-2</v>
      </c>
      <c r="F79" s="95" t="str">
        <f>$E$47</f>
        <v>t N2O</v>
      </c>
    </row>
    <row r="81" spans="3:12" ht="20.100000000000001" customHeight="1" x14ac:dyDescent="0.2">
      <c r="D81" s="126" t="str" cm="1">
        <f t="array" ref="D81:E82">Common_Equations.Common_ConvertN2OToCO2e_Arguments()</f>
        <v>EN2O</v>
      </c>
      <c r="E81" s="129" t="str">
        <v>Nitrous oxide emissions (t N2O)</v>
      </c>
      <c r="F81" s="130"/>
      <c r="G81" s="15">
        <f>VEERG_5_4_1_1__1_InorganicFertiliserAtmosphericDepositionN2OEmissions_Result_Method1</f>
        <v>2.4000349010000002E-2</v>
      </c>
    </row>
    <row r="82" spans="3:12" ht="20.100000000000001" customHeight="1" x14ac:dyDescent="0.2">
      <c r="D82" s="126" t="str">
        <v>GWPN2O</v>
      </c>
      <c r="E82" s="129" t="str">
        <v>Global warming potential for nitrous oxide (t CO2-e / t N2O)</v>
      </c>
      <c r="F82" s="130"/>
      <c r="G82" s="15">
        <f>Common_InputFunctions.Utility_LookupValueInTableNumber("N2O",Table_GWPData[Gas],Table_GWPData[CO2-e factor])</f>
        <v>265</v>
      </c>
    </row>
    <row r="84" spans="3:12" ht="20.100000000000001" customHeight="1" x14ac:dyDescent="0.2">
      <c r="D84" s="83" t="s">
        <v>377</v>
      </c>
      <c r="E84" s="83" cm="1">
        <f t="array" ref="E84">Common_Equations.Common_ConvertN2OToCO2e(G81,G82)</f>
        <v>6.3600924876500002</v>
      </c>
      <c r="F84" s="89" t="str" cm="1">
        <f t="array" ref="F84">Common_Equations.Common_ConvertN2OToCO2e_Unit()</f>
        <v>t CO2e</v>
      </c>
    </row>
    <row r="87" spans="3:12" ht="20.100000000000001" customHeight="1" x14ac:dyDescent="0.2">
      <c r="C87" s="231"/>
      <c r="D87" s="231"/>
      <c r="E87" s="231"/>
      <c r="F87" s="231"/>
      <c r="G87" s="231"/>
      <c r="H87" s="231"/>
      <c r="I87" s="231"/>
      <c r="J87" s="231"/>
      <c r="K87" s="231"/>
      <c r="L87" s="231"/>
    </row>
    <row r="88" spans="3:12" ht="20.100000000000001" customHeight="1" x14ac:dyDescent="0.2">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
      <c r="D89" s="17" t="str" cm="1">
        <f t="array" ref="D89">Fertiliser_Equations_AtmosphericDeposition.VEERG_5_4_1_3__2_MassOfNitrogenVolatilisedFromOrganicFertiliser_Source()</f>
        <v>VEERG 2026: 5.4.1.3, Equation (2)</v>
      </c>
    </row>
    <row r="90" spans="3:12" ht="20.100000000000001" customHeight="1" x14ac:dyDescent="0.2">
      <c r="D90" s="112" t="s">
        <v>328</v>
      </c>
      <c r="E90" s="112" t="str" cm="1">
        <f t="array" aca="1" ref="E90" ca="1">Common_InputFunctions.Utility_DisplayFunctionName(F102)</f>
        <v>=Fertiliser_Equations_AtmosphericDeposition.VEERG_5_4_1_3__2_MassOfNitrogenVolatilisedFromOrganicFertiliser</v>
      </c>
    </row>
    <row r="93" spans="3:12" ht="20.100000000000001" customHeight="1" x14ac:dyDescent="0.2">
      <c r="D93" s="75" t="s">
        <v>329</v>
      </c>
      <c r="E93" s="1" t="str" cm="1">
        <f t="array" ref="E93">Fertiliser_Equations_AtmosphericDeposition.VEERG_5_4_1_3__2_MassOfNitrogenVolatilisedFromOrganicFertiliser_Variable()</f>
        <v>M_volorganicjf</v>
      </c>
    </row>
    <row r="94" spans="3:12" ht="20.100000000000001" customHeight="1" x14ac:dyDescent="0.2">
      <c r="D94" s="75" t="s">
        <v>118</v>
      </c>
      <c r="E94" s="9" t="str" cm="1">
        <f t="array" ref="E94">Fertiliser_Equations_AtmosphericDeposition.VEERG_5_4_1_3__2_MassOfNitrogenVolatilisedFromOrganicFertiliser_Unit()</f>
        <v>kg N</v>
      </c>
    </row>
    <row r="96" spans="3:12" ht="20.100000000000001" customHeight="1" x14ac:dyDescent="0.2">
      <c r="D96" s="113" t="str" cm="1">
        <f t="array" ref="D96:E97">_xlfn.CHOOSECOLS(Fertiliser_Equations_AtmosphericDeposition.VEERG_5_4_1_3__2_MassOfNitrogenVolatilisedFromOrganicFertiliser_Arguments(), 1, 2)</f>
        <v>MNSoil_jf</v>
      </c>
      <c r="E96" s="113" t="str">
        <v>mass of nitrogen in organic fertiliser type f applied to production system j</v>
      </c>
      <c r="F96" s="113"/>
      <c r="G96" s="113" t="str" cm="1">
        <f t="array" ref="G96:H97">_xlfn.CHOOSECOLS(Fertiliser_Equations_AtmosphericDeposition.VEERG_5_4_1_3__2_MassOfNitrogenVolatilisedFromOrganicFertiliser_Arguments(), 3,4)</f>
        <v>kg N</v>
      </c>
      <c r="H96" s="115" t="str">
        <v>Calculated from 5.2.1.1 (2)</v>
      </c>
      <c r="I96" s="116" t="str" cm="1">
        <f t="array" aca="1" ref="I96" ca="1">HYPERLINK(Common_InputFunctions.Utility_SourceHyperlink($D$99), $D$99)</f>
        <v>Table_M_vol_organic_j_f</v>
      </c>
    </row>
    <row r="97" spans="1:9" ht="20.100000000000001" customHeight="1" x14ac:dyDescent="0.2">
      <c r="D97" s="113" t="str">
        <v>FracGASM_soil</v>
      </c>
      <c r="E97" s="113" t="str">
        <v>fraction of organic fertiliser N that volatilises</v>
      </c>
      <c r="F97" s="113"/>
      <c r="G97" s="113" t="str">
        <v>(kg NH3-N + NOx-N)/kg N</v>
      </c>
      <c r="H97" s="115" t="str">
        <v>Constant</v>
      </c>
      <c r="I97" s="113">
        <f>Fertiliser_FracGASMSoil_Data</f>
        <v>0.21</v>
      </c>
    </row>
    <row r="98" spans="1:9" ht="20.100000000000001" customHeight="1" x14ac:dyDescent="0.2">
      <c r="A98" s="79" t="str">
        <f>HYPERLINK("#A1", "▲ Back to top")</f>
        <v>▲ Back to top</v>
      </c>
    </row>
    <row r="99" spans="1:9" ht="20.100000000000001" customHeight="1" x14ac:dyDescent="0.2">
      <c r="D99" s="118" t="s">
        <v>828</v>
      </c>
    </row>
    <row r="100" spans="1:9" ht="20.100000000000001" customHeight="1" x14ac:dyDescent="0.2">
      <c r="D100" s="119" t="s">
        <v>829</v>
      </c>
    </row>
    <row r="101" spans="1:9" ht="20.100000000000001" customHeight="1" x14ac:dyDescent="0.2">
      <c r="D101" s="78" t="s">
        <v>802</v>
      </c>
      <c r="E101" s="227" t="s">
        <v>806</v>
      </c>
      <c r="F101" s="227" t="s">
        <v>830</v>
      </c>
    </row>
    <row r="102" spans="1:9" ht="20.100000000000001" customHeight="1" x14ac:dyDescent="0.2">
      <c r="D102" s="15" t="str" cm="1">
        <f t="array" ref="D102:D104">Table_Input_OrganicFertiliser[Organic fertiliser type (select)]</f>
        <v>Manure - Other</v>
      </c>
      <c r="E102" s="15">
        <f>INDEX(Table_MNSoil_j_f,2,6)</f>
        <v>300</v>
      </c>
      <c r="F102" s="15" cm="1">
        <f t="array" ref="F102">Fertiliser_Equations_AtmosphericDeposition.VEERG_5_4_1_3__2_MassOfNitrogenVolatilisedFromOrganicFertiliser(E102,$I$97)</f>
        <v>63</v>
      </c>
      <c r="G102" s="16" t="str">
        <f>$E$94</f>
        <v>kg N</v>
      </c>
    </row>
    <row r="103" spans="1:9" ht="20.100000000000001" customHeight="1" x14ac:dyDescent="0.2">
      <c r="D103" s="15" t="str">
        <v>Manure - Poultry</v>
      </c>
      <c r="E103" s="15">
        <f>INDEX(Table_MNSoil_j_f,3,6)</f>
        <v>250</v>
      </c>
      <c r="F103" s="15" cm="1">
        <f t="array" ref="F103">Fertiliser_Equations_AtmosphericDeposition.VEERG_5_4_1_3__2_MassOfNitrogenVolatilisedFromOrganicFertiliser(E103,$I$97)</f>
        <v>52.5</v>
      </c>
    </row>
    <row r="104" spans="1:9" ht="20.100000000000001" customHeight="1" x14ac:dyDescent="0.2">
      <c r="D104" s="15" t="str">
        <v>Other organic fertiliser</v>
      </c>
      <c r="E104" s="15">
        <f>INDEX(Table_MNSoil_j_f,4,6)</f>
        <v>160</v>
      </c>
      <c r="F104" s="15" cm="1">
        <f t="array" ref="F104">Fertiliser_Equations_AtmosphericDeposition.VEERG_5_4_1_3__2_MassOfNitrogenVolatilisedFromOrganicFertiliser(E104,$I$97)</f>
        <v>33.6</v>
      </c>
    </row>
    <row r="105" spans="1:9" ht="20.100000000000001" customHeight="1" x14ac:dyDescent="0.2">
      <c r="D105" s="15"/>
      <c r="E105" s="15">
        <f>'5.2.1.1-2 Organic Fert N2O'!I23</f>
        <v>0</v>
      </c>
      <c r="F105" s="15" cm="1">
        <f t="array" ref="F105">Fertiliser_Equations_AtmosphericDeposition.VEERG_5_4_1_3__2_MassOfNitrogenVolatilisedFromOrganicFertiliser(E105,$I$97)</f>
        <v>0</v>
      </c>
    </row>
    <row r="106" spans="1:9" ht="20.100000000000001" customHeight="1" x14ac:dyDescent="0.2">
      <c r="D106" s="15"/>
      <c r="E106" s="15">
        <f>'5.2.1.1-2 Organic Fert N2O'!I24</f>
        <v>0</v>
      </c>
      <c r="F106" s="15" cm="1">
        <f t="array" ref="F106">Fertiliser_Equations_AtmosphericDeposition.VEERG_5_4_1_3__2_MassOfNitrogenVolatilisedFromOrganicFertiliser(E106,$I$97)</f>
        <v>0</v>
      </c>
    </row>
    <row r="107" spans="1:9" ht="20.100000000000001" customHeight="1" x14ac:dyDescent="0.2">
      <c r="D107" s="15"/>
      <c r="E107" s="15">
        <f>'5.2.1.1-2 Organic Fert N2O'!I25</f>
        <v>0</v>
      </c>
      <c r="F107" s="15" cm="1">
        <f t="array" ref="F107">Fertiliser_Equations_AtmosphericDeposition.VEERG_5_4_1_3__2_MassOfNitrogenVolatilisedFromOrganicFertiliser(E107,$I$97)</f>
        <v>0</v>
      </c>
    </row>
    <row r="108" spans="1:9" ht="20.100000000000001" customHeight="1" x14ac:dyDescent="0.2">
      <c r="D108" s="15"/>
      <c r="E108" s="15">
        <f>'5.2.1.1-2 Organic Fert N2O'!I26</f>
        <v>0</v>
      </c>
      <c r="F108" s="15" cm="1">
        <f t="array" ref="F108">Fertiliser_Equations_AtmosphericDeposition.VEERG_5_4_1_3__2_MassOfNitrogenVolatilisedFromOrganicFertiliser(E108,$I$97)</f>
        <v>0</v>
      </c>
    </row>
    <row r="109" spans="1:9" ht="20.100000000000001" customHeight="1" x14ac:dyDescent="0.2">
      <c r="D109" s="15"/>
      <c r="E109" s="15">
        <f>'5.2.1.1-2 Organic Fert N2O'!I27</f>
        <v>0</v>
      </c>
      <c r="F109" s="15" cm="1">
        <f t="array" ref="F109">Fertiliser_Equations_AtmosphericDeposition.VEERG_5_4_1_3__2_MassOfNitrogenVolatilisedFromOrganicFertiliser(E109,$I$97)</f>
        <v>0</v>
      </c>
    </row>
    <row r="110" spans="1:9" ht="20.100000000000001" customHeight="1" x14ac:dyDescent="0.2">
      <c r="D110" s="15"/>
      <c r="E110" s="15">
        <f>'5.2.1.1-2 Organic Fert N2O'!I28</f>
        <v>0</v>
      </c>
      <c r="F110" s="15" cm="1">
        <f t="array" ref="F110">Fertiliser_Equations_AtmosphericDeposition.VEERG_5_4_1_3__2_MassOfNitrogenVolatilisedFromOrganicFertiliser(E110,$I$97)</f>
        <v>0</v>
      </c>
    </row>
    <row r="111" spans="1:9" ht="20.100000000000001" customHeight="1" x14ac:dyDescent="0.2">
      <c r="D111" s="15"/>
      <c r="E111" s="15">
        <f>'5.2.1.1-2 Organic Fert N2O'!I29</f>
        <v>0</v>
      </c>
      <c r="F111" s="15" cm="1">
        <f t="array" ref="F111">Fertiliser_Equations_AtmosphericDeposition.VEERG_5_4_1_3__2_MassOfNitrogenVolatilisedFromOrganicFertiliser(E111,$I$97)</f>
        <v>0</v>
      </c>
    </row>
    <row r="112" spans="1:9" ht="20.100000000000001" customHeight="1" x14ac:dyDescent="0.2">
      <c r="D112" s="15"/>
      <c r="E112" s="15">
        <f>'5.2.1.1-2 Organic Fert N2O'!I30</f>
        <v>0</v>
      </c>
      <c r="F112" s="15" cm="1">
        <f t="array" ref="F112">Fertiliser_Equations_AtmosphericDeposition.VEERG_5_4_1_3__2_MassOfNitrogenVolatilisedFromOrganicFertiliser(E112,$I$97)</f>
        <v>0</v>
      </c>
    </row>
    <row r="115" spans="1:12" ht="20.100000000000001" customHeight="1" x14ac:dyDescent="0.2">
      <c r="C115" s="231"/>
      <c r="D115" s="231"/>
      <c r="E115" s="231"/>
      <c r="F115" s="231"/>
      <c r="G115" s="231"/>
      <c r="H115" s="231"/>
      <c r="I115" s="231"/>
      <c r="J115" s="231"/>
      <c r="K115" s="231"/>
      <c r="L115" s="231"/>
    </row>
    <row r="116" spans="1:12" ht="20.100000000000001" customHeight="1" x14ac:dyDescent="0.2">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100000000000001" customHeight="1" x14ac:dyDescent="0.2">
      <c r="D117" s="17" t="str" cm="1">
        <f t="array" ref="D117">Fertiliser_Equations_AtmosphericDeposition.VEERG_5_4_1_3__1_OrganicFertiliserAtmosphericDepositionN2OEmissions_Source()</f>
        <v>VEERG 2026: 5.4.1.3, Equation (1)</v>
      </c>
    </row>
    <row r="118" spans="1:12" ht="20.100000000000001" customHeight="1" x14ac:dyDescent="0.2">
      <c r="D118" s="112" t="s">
        <v>328</v>
      </c>
      <c r="E118" s="112" t="str" cm="1">
        <f t="array" aca="1" ref="E118" ca="1">Common_InputFunctions.Utility_DisplayFunctionName(F134)</f>
        <v>=Fertiliser_Equations_AtmosphericDeposition.VEERG_5_4_1_3__1_OrganicFertiliserAtmosphericDepositionN2OEmissions</v>
      </c>
    </row>
    <row r="121" spans="1:12" ht="20.100000000000001" customHeight="1" x14ac:dyDescent="0.2">
      <c r="D121" s="75" t="s">
        <v>329</v>
      </c>
      <c r="E121" s="1" t="str" cm="1">
        <f t="array" ref="E121">Fertiliser_Equations_AtmosphericDeposition.VEERG_5_4_1_3__1_OrganicFertiliserAtmosphericDepositionN2OEmissions_Variable()</f>
        <v>E_adorganic</v>
      </c>
    </row>
    <row r="122" spans="1:12" ht="20.100000000000001" customHeight="1" x14ac:dyDescent="0.2">
      <c r="D122" s="75" t="s">
        <v>118</v>
      </c>
      <c r="E122" s="9" t="str" cm="1">
        <f t="array" ref="E122">Fertiliser_Equations_AtmosphericDeposition.VEERG_5_4_1_3__1_OrganicFertiliserAtmosphericDepositionN2OEmissions_Unit()</f>
        <v>t N2O</v>
      </c>
    </row>
    <row r="124" spans="1:12" ht="20.100000000000001" customHeight="1" x14ac:dyDescent="0.2">
      <c r="D124" s="113" t="str" cm="1">
        <f t="array" ref="D124:E129">_xlfn.CHOOSECOLS(Fertiliser_Equations_AtmosphericDeposition.VEERG_5_4_1_3__1_OrganicFertiliserAtmosphericDepositionN2OEmissions_Arguments(), 1, 2)</f>
        <v>M_volorganicjf</v>
      </c>
      <c r="E124" s="122" t="str">
        <v>mass of nitrogen volatilised from organic fertiliser applied to production system</v>
      </c>
      <c r="F124" s="123"/>
      <c r="G124" s="113" t="str" cm="1">
        <f t="array" ref="G124:H129">_xlfn.CHOOSECOLS(Fertiliser_Equations_AtmosphericDeposition.VEERG_5_4_1_3__1_OrganicFertiliserAtmosphericDepositionN2OEmissions_Arguments(), 3,4)</f>
        <v>kg N</v>
      </c>
      <c r="H124" s="115" t="str">
        <v>Calculated from 5.4.1.3 (2)</v>
      </c>
      <c r="I124" s="116" t="str" cm="1">
        <f t="array" aca="1" ref="I124" ca="1">HYPERLINK(Common_InputFunctions.Utility_SourceHyperlink($D$99), $D$99)</f>
        <v>Table_M_vol_organic_j_f</v>
      </c>
    </row>
    <row r="125" spans="1:12" ht="20.100000000000001" customHeight="1" x14ac:dyDescent="0.2">
      <c r="D125" s="113" t="str">
        <v>EF_N2Oj</v>
      </c>
      <c r="E125" s="122" t="str">
        <v>emission factor for atmospheric deposition in production system j</v>
      </c>
      <c r="F125" s="123"/>
      <c r="G125" s="113" t="str">
        <v>kg N2O-N/kg N</v>
      </c>
      <c r="H125" s="115" t="str">
        <v>Constant</v>
      </c>
      <c r="I125" s="113">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D126" s="113" t="str">
        <v>C_N2O</v>
      </c>
      <c r="E126" s="122" t="str">
        <v>factor to convert elemental mass of nitrous oxide to molecular mass</v>
      </c>
      <c r="F126" s="123"/>
      <c r="G126" s="113" t="str">
        <v/>
      </c>
      <c r="H126" s="115" t="str">
        <v>Constant</v>
      </c>
      <c r="I126" s="126">
        <f>Common_InputFunctions.Utility_LookupValueInTableNumber("N2O",Table_GasToMolecularConversionFactor[Gas],Table_GasToMolecularConversionFactor[Conversion factor combined])</f>
        <v>1.5714285714285714</v>
      </c>
    </row>
    <row r="127" spans="1:12" ht="20.100000000000001" customHeight="1" x14ac:dyDescent="0.2">
      <c r="D127" s="113" t="str">
        <v>j</v>
      </c>
      <c r="E127" s="122" t="str">
        <v>Production system</v>
      </c>
      <c r="F127" s="123"/>
      <c r="G127" s="113" t="str">
        <v/>
      </c>
      <c r="H127" s="114" t="str">
        <v>Input</v>
      </c>
      <c r="I127" s="113" t="str">
        <f>X_Cell_Fertiliser_ProductionSystem</f>
        <v>Crop</v>
      </c>
    </row>
    <row r="128" spans="1:12" ht="20.100000000000001" customHeight="1" x14ac:dyDescent="0.2">
      <c r="A128" s="79" t="str">
        <f>HYPERLINK("#A1", "▲ Back to top")</f>
        <v>▲ Back to top</v>
      </c>
      <c r="D128" s="113" t="str">
        <v>ir</v>
      </c>
      <c r="E128" s="122" t="str">
        <v>irrigation method</v>
      </c>
      <c r="F128" s="123"/>
      <c r="G128" s="113" t="str">
        <v/>
      </c>
      <c r="H128" s="114" t="str">
        <v>Input</v>
      </c>
      <c r="I128" s="113" t="str">
        <f>X_Cell_Fertiliser_IrrigationMethod</f>
        <v>Drip irrigation</v>
      </c>
    </row>
    <row r="129" spans="4:9" ht="20.100000000000001" customHeight="1" x14ac:dyDescent="0.2">
      <c r="D129" s="113" t="str">
        <v>r</v>
      </c>
      <c r="E129" s="122" t="str">
        <v>rainfall region</v>
      </c>
      <c r="F129" s="123"/>
      <c r="G129" s="113" t="str">
        <v/>
      </c>
      <c r="H129" s="114" t="str">
        <v>Input</v>
      </c>
      <c r="I129" s="113" t="str">
        <f>X_Cell_Site_RainfallZone</f>
        <v>High rainfall</v>
      </c>
    </row>
    <row r="131" spans="4:9" ht="20.100000000000001" customHeight="1" x14ac:dyDescent="0.2">
      <c r="D131" s="118" t="s">
        <v>831</v>
      </c>
    </row>
    <row r="132" spans="4:9" ht="20.100000000000001" customHeight="1" x14ac:dyDescent="0.2">
      <c r="D132" s="119" t="s">
        <v>832</v>
      </c>
    </row>
    <row r="133" spans="4:9" ht="20.100000000000001" customHeight="1" x14ac:dyDescent="0.2">
      <c r="D133" s="78" t="s">
        <v>802</v>
      </c>
      <c r="E133" s="227" t="s">
        <v>830</v>
      </c>
      <c r="F133" s="227" t="s">
        <v>833</v>
      </c>
    </row>
    <row r="134" spans="4:9" ht="20.100000000000001" customHeight="1" x14ac:dyDescent="0.2">
      <c r="D134" s="15" t="str" cm="1">
        <f t="array" ref="D134:D136">Table_Input_OrganicFertiliser[Organic fertiliser type (select)]</f>
        <v>Manure - Other</v>
      </c>
      <c r="E134" s="15">
        <f>F102</f>
        <v>63</v>
      </c>
      <c r="F134" s="15" cm="1">
        <f t="array" ref="F134">Fertiliser_Equations_AtmosphericDeposition.VEERG_5_4_1_3__1_OrganicFertiliserAtmosphericDepositionN2OEmissions(E134,$I$125,$I$126)</f>
        <v>6.9299999999999993E-4</v>
      </c>
    </row>
    <row r="135" spans="4:9" ht="20.100000000000001" customHeight="1" x14ac:dyDescent="0.2">
      <c r="D135" s="15" t="str">
        <v>Manure - Poultry</v>
      </c>
      <c r="E135" s="15">
        <f t="shared" ref="E135:E144" si="1">F103</f>
        <v>52.5</v>
      </c>
      <c r="F135" s="15" cm="1">
        <f t="array" ref="F135">Fertiliser_Equations_AtmosphericDeposition.VEERG_5_4_1_3__1_OrganicFertiliserAtmosphericDepositionN2OEmissions(E135,$I$125,$I$126)</f>
        <v>5.775E-4</v>
      </c>
    </row>
    <row r="136" spans="4:9" ht="20.100000000000001" customHeight="1" x14ac:dyDescent="0.2">
      <c r="D136" s="15" t="str">
        <v>Other organic fertiliser</v>
      </c>
      <c r="E136" s="15">
        <f t="shared" si="1"/>
        <v>33.6</v>
      </c>
      <c r="F136" s="15" cm="1">
        <f t="array" ref="F136">Fertiliser_Equations_AtmosphericDeposition.VEERG_5_4_1_3__1_OrganicFertiliserAtmosphericDepositionN2OEmissions(E136,$I$125,$I$126)</f>
        <v>3.6960000000000004E-4</v>
      </c>
    </row>
    <row r="137" spans="4:9" ht="20.100000000000001" customHeight="1" x14ac:dyDescent="0.2">
      <c r="D137" s="15"/>
      <c r="E137" s="15">
        <f t="shared" si="1"/>
        <v>0</v>
      </c>
      <c r="F137" s="15" cm="1">
        <f t="array" ref="F137">Fertiliser_Equations_AtmosphericDeposition.VEERG_5_4_1_3__1_OrganicFertiliserAtmosphericDepositionN2OEmissions(E137,$I$125,$I$126)</f>
        <v>0</v>
      </c>
    </row>
    <row r="138" spans="4:9" ht="20.100000000000001" customHeight="1" x14ac:dyDescent="0.2">
      <c r="D138" s="15"/>
      <c r="E138" s="15">
        <f t="shared" si="1"/>
        <v>0</v>
      </c>
      <c r="F138" s="15" cm="1">
        <f t="array" ref="F138">Fertiliser_Equations_AtmosphericDeposition.VEERG_5_4_1_3__1_OrganicFertiliserAtmosphericDepositionN2OEmissions(E138,$I$125,$I$126)</f>
        <v>0</v>
      </c>
    </row>
    <row r="139" spans="4:9" ht="20.100000000000001" customHeight="1" x14ac:dyDescent="0.2">
      <c r="D139" s="15"/>
      <c r="E139" s="15">
        <f t="shared" si="1"/>
        <v>0</v>
      </c>
      <c r="F139" s="15" cm="1">
        <f t="array" ref="F139">Fertiliser_Equations_AtmosphericDeposition.VEERG_5_4_1_3__1_OrganicFertiliserAtmosphericDepositionN2OEmissions(E139,$I$125,$I$126)</f>
        <v>0</v>
      </c>
    </row>
    <row r="140" spans="4:9" ht="20.100000000000001" customHeight="1" x14ac:dyDescent="0.2">
      <c r="D140" s="15"/>
      <c r="E140" s="15">
        <f t="shared" si="1"/>
        <v>0</v>
      </c>
      <c r="F140" s="15" cm="1">
        <f t="array" ref="F140">Fertiliser_Equations_AtmosphericDeposition.VEERG_5_4_1_3__1_OrganicFertiliserAtmosphericDepositionN2OEmissions(E140,$I$125,$I$126)</f>
        <v>0</v>
      </c>
    </row>
    <row r="141" spans="4:9" ht="20.100000000000001" customHeight="1" x14ac:dyDescent="0.2">
      <c r="D141" s="15"/>
      <c r="E141" s="15">
        <f t="shared" si="1"/>
        <v>0</v>
      </c>
      <c r="F141" s="15" cm="1">
        <f t="array" ref="F141">Fertiliser_Equations_AtmosphericDeposition.VEERG_5_4_1_3__1_OrganicFertiliserAtmosphericDepositionN2OEmissions(E141,$I$125,$I$126)</f>
        <v>0</v>
      </c>
    </row>
    <row r="142" spans="4:9" ht="20.100000000000001" customHeight="1" x14ac:dyDescent="0.2">
      <c r="D142" s="15"/>
      <c r="E142" s="15">
        <f t="shared" si="1"/>
        <v>0</v>
      </c>
      <c r="F142" s="15" cm="1">
        <f t="array" ref="F142">Fertiliser_Equations_AtmosphericDeposition.VEERG_5_4_1_3__1_OrganicFertiliserAtmosphericDepositionN2OEmissions(E142,$I$125,$I$126)</f>
        <v>0</v>
      </c>
    </row>
    <row r="143" spans="4:9" ht="20.100000000000001" customHeight="1" x14ac:dyDescent="0.2">
      <c r="D143" s="15"/>
      <c r="E143" s="15">
        <f t="shared" si="1"/>
        <v>0</v>
      </c>
      <c r="F143" s="15" cm="1">
        <f t="array" ref="F143">Fertiliser_Equations_AtmosphericDeposition.VEERG_5_4_1_3__1_OrganicFertiliserAtmosphericDepositionN2OEmissions(E143,$I$125,$I$126)</f>
        <v>0</v>
      </c>
    </row>
    <row r="144" spans="4:9" ht="20.100000000000001" customHeight="1" x14ac:dyDescent="0.2">
      <c r="D144" s="15"/>
      <c r="E144" s="15">
        <f t="shared" si="1"/>
        <v>0</v>
      </c>
      <c r="F144" s="15" cm="1">
        <f t="array" ref="F144">Fertiliser_Equations_AtmosphericDeposition.VEERG_5_4_1_3__1_OrganicFertiliserAtmosphericDepositionN2OEmissions(E144,$I$125,$I$126)</f>
        <v>0</v>
      </c>
    </row>
    <row r="146" spans="4:7" ht="20.100000000000001" customHeight="1" x14ac:dyDescent="0.2">
      <c r="D146" s="85" t="s">
        <v>834</v>
      </c>
      <c r="E146" s="86">
        <f>SUM(F134:F144)</f>
        <v>1.6401E-3</v>
      </c>
      <c r="F146" s="95" t="str">
        <f>$E$122</f>
        <v>t N2O</v>
      </c>
    </row>
    <row r="148" spans="4:7" ht="20.100000000000001" customHeight="1" x14ac:dyDescent="0.2">
      <c r="D148" s="126" t="str" cm="1">
        <f t="array" ref="D148:E149">Common_Equations.Common_ConvertN2OToCO2e_Arguments()</f>
        <v>EN2O</v>
      </c>
      <c r="E148" s="129" t="str">
        <v>Nitrous oxide emissions (t N2O)</v>
      </c>
      <c r="F148" s="130"/>
      <c r="G148" s="15">
        <f>VEERG_5_4_1_3__1_OrganicFertiliserAtmosphericDepositionN2OEmissions_Result_Method1</f>
        <v>1.6401E-3</v>
      </c>
    </row>
    <row r="149" spans="4:7" ht="20.100000000000001" customHeight="1" x14ac:dyDescent="0.2">
      <c r="D149" s="126" t="str">
        <v>GWPN2O</v>
      </c>
      <c r="E149" s="129" t="str">
        <v>Global warming potential for nitrous oxide (t CO2-e / t N2O)</v>
      </c>
      <c r="F149" s="130"/>
      <c r="G149" s="15">
        <f>Common_InputFunctions.Utility_LookupValueInTableNumber("N2O",Table_GWPData[Gas],Table_GWPData[CO2-e factor])</f>
        <v>265</v>
      </c>
    </row>
    <row r="151" spans="4:7" ht="20.100000000000001" customHeight="1" x14ac:dyDescent="0.2">
      <c r="D151" s="83" t="s">
        <v>377</v>
      </c>
      <c r="E151" s="83" cm="1">
        <f t="array" ref="E151">Common_Equations.Common_ConvertN2OToCO2e(G148,G149)</f>
        <v>0.43462650000000003</v>
      </c>
      <c r="F151" s="89" t="str" cm="1">
        <f t="array" ref="F151">Common_Equations.Common_ConvertN2OToCO2e_Unit()</f>
        <v>t CO2e</v>
      </c>
    </row>
  </sheetData>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8BE5D-8297-41DE-AEDC-2C0F22875BE5}">
  <sheetPr>
    <tabColor rgb="FF008000"/>
  </sheetPr>
  <dimension ref="A1:T99"/>
  <sheetViews>
    <sheetView showGridLines="0" zoomScaleNormal="100" workbookViewId="0">
      <pane xSplit="1" topLeftCell="B1" activePane="topRight" state="frozenSplit"/>
      <selection pane="topRight" activeCell="A4" sqref="A4"/>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835</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
      <c r="D6" s="17" t="str" cm="1">
        <f t="array" ref="D6">Fertiliser_Equations_LeachingAndRunoff.VEERG_5_5_1_1__2_MassOfNitrogenLeachedFromInorganicFertiliser_Source()</f>
        <v>VEERG 2026: 5.5, Equation (2)</v>
      </c>
    </row>
    <row r="7" spans="1:20" ht="20.100000000000001" customHeight="1" x14ac:dyDescent="0.2">
      <c r="D7" s="112" t="s">
        <v>328</v>
      </c>
      <c r="E7" s="112" t="str" cm="1">
        <f t="array" aca="1" ref="E7" ca="1">Common_InputFunctions.Utility_DisplayFunctionName(F23)</f>
        <v>=Fertiliser_Equations_LeachingAndRunoff.VEERG_5_5_1_1__2_MassOfNitrogenLeachedFromInorganicFertiliser</v>
      </c>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329</v>
      </c>
      <c r="E10" s="1" t="str" cm="1">
        <f t="array" ref="E10">Fertiliser_Equations_LeachingAndRunoff.VEERG_5_5_1_1__2_MassOfNitrogenLeachedFromInorganicFertiliser_Variable()</f>
        <v>M_leachinorganicj</v>
      </c>
    </row>
    <row r="11" spans="1:20" ht="20.100000000000001" customHeight="1" x14ac:dyDescent="0.2">
      <c r="A11" s="5" t="str">
        <f>HYPERLINK("#'Input - Poultry'!A1", "Poultry")</f>
        <v>Poultry</v>
      </c>
      <c r="D11" s="75" t="s">
        <v>118</v>
      </c>
      <c r="E11" s="9" t="str" cm="1">
        <f t="array" ref="E11">Fertiliser_Equations_LeachingAndRunoff.VEERG_5_5_1_1__2_MassOfNitrogenLeachedFromInorganicFertiliser_Unit()</f>
        <v>kg N</v>
      </c>
    </row>
    <row r="12" spans="1:20" ht="20.100000000000001" customHeight="1" x14ac:dyDescent="0.2">
      <c r="A12" s="5" t="str">
        <f>HYPERLINK("#'Input - Livestock sales'!A1", "Livestock sales")</f>
        <v>Livestock sales</v>
      </c>
    </row>
    <row r="13" spans="1:20" ht="20.100000000000001" customHeight="1" x14ac:dyDescent="0.2">
      <c r="A13" s="5" t="str">
        <f>HYPERLINK("#'Input - Poultry purchases'!A1", "Poultry purchases")</f>
        <v>Poultry purchases</v>
      </c>
      <c r="D13" s="113" t="str" cm="1">
        <f t="array" ref="D13:E18">_xlfn.CHOOSECOLS(Fertiliser_Equations_LeachingAndRunoff.VEERG_5_5_1_1__2_MassOfNitrogenLeachedFromInorganicFertiliser_Arguments(), 1, 2)</f>
        <v>MN_jf</v>
      </c>
      <c r="E13" s="122" t="str">
        <v>mass of nitrogen in inorganic fertiliser</v>
      </c>
      <c r="F13" s="123"/>
      <c r="G13" s="113" t="str" cm="1">
        <f t="array" ref="G13:H18">_xlfn.CHOOSECOLS(Fertiliser_Equations_LeachingAndRunoff.VEERG_5_5_1_1__2_MassOfNitrogenLeachedFromInorganicFertiliser_Arguments(), 3,4)</f>
        <v>kg N</v>
      </c>
      <c r="H13" s="115" t="str">
        <v>Calculated from 5.1.1.1 (2)</v>
      </c>
      <c r="I13" s="116" t="str" cm="1">
        <f t="array" aca="1" ref="I13" ca="1">HYPERLINK(Common_InputFunctions.Utility_SourceHyperlink(D20), D20)</f>
        <v>Table_M_leach_inorganic_j</v>
      </c>
    </row>
    <row r="14" spans="1:20" ht="20.100000000000001" customHeight="1" x14ac:dyDescent="0.2">
      <c r="A14" s="5" t="str">
        <f>HYPERLINK("#'Input - Fuel'!A1", "Fuel")</f>
        <v>Fuel</v>
      </c>
      <c r="D14" s="113" t="str">
        <v>FracWETj</v>
      </c>
      <c r="E14" s="122" t="str">
        <v>fraction of N available for leaching and runoff</v>
      </c>
      <c r="F14" s="123"/>
      <c r="G14" s="113" t="str">
        <v>fraction</v>
      </c>
      <c r="H14" s="115" t="str">
        <v>Constant</v>
      </c>
      <c r="I14" s="113">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
      <c r="A15" s="5" t="str">
        <f>HYPERLINK("#'Input - Electricity'!A1", "Electricity")</f>
        <v>Electricity</v>
      </c>
      <c r="D15" s="113" t="str">
        <v>FracLEACH</v>
      </c>
      <c r="E15" s="122" t="str">
        <v>fraction of N that is lost through leaching and runoff</v>
      </c>
      <c r="F15" s="123"/>
      <c r="G15" s="113" t="str">
        <v>fraction</v>
      </c>
      <c r="H15" s="115" t="str">
        <v>Constant</v>
      </c>
      <c r="I15" s="113">
        <f>Fertiliser_FracLEACH_Data</f>
        <v>0.24</v>
      </c>
    </row>
    <row r="16" spans="1:20" ht="20.100000000000001" customHeight="1" x14ac:dyDescent="0.2">
      <c r="A16" s="5" t="str">
        <f>HYPERLINK("#'Input - Common farm inputs'!A1", "Common farm inputs")</f>
        <v>Common farm inputs</v>
      </c>
      <c r="D16" s="113" t="str">
        <v>z</v>
      </c>
      <c r="E16" s="122" t="str">
        <v>location in leaching zone</v>
      </c>
      <c r="F16" s="123"/>
      <c r="G16" s="113" t="str">
        <v/>
      </c>
      <c r="H16" s="114" t="str">
        <v>Input</v>
      </c>
      <c r="I16" s="113" t="str">
        <f>X_Cell_Site_LeachingZone</f>
        <v>NO - Not in leaching zone</v>
      </c>
    </row>
    <row r="17" spans="1:9" ht="20.100000000000001" customHeight="1" x14ac:dyDescent="0.2">
      <c r="A17" s="5" t="str">
        <f>HYPERLINK("#'Input - Livestock farm Inputs'!A1", "Livestock farm Inputs")</f>
        <v>Livestock farm Inputs</v>
      </c>
      <c r="D17" s="113" t="str">
        <v>j</v>
      </c>
      <c r="E17" s="122" t="str">
        <v>production system</v>
      </c>
      <c r="F17" s="123"/>
      <c r="G17" s="113" t="str">
        <v/>
      </c>
      <c r="H17" s="114" t="str">
        <v>Input</v>
      </c>
      <c r="I17" s="113" t="str">
        <f>X_Cell_Fertiliser_ProductionSystem</f>
        <v>Crop</v>
      </c>
    </row>
    <row r="18" spans="1:9" ht="20.100000000000001" customHeight="1" x14ac:dyDescent="0.2">
      <c r="A18" s="5" t="str">
        <f>HYPERLINK("#'Input - Freight'!A1", "Freight")</f>
        <v>Freight</v>
      </c>
      <c r="D18" s="113" t="str">
        <v>ir</v>
      </c>
      <c r="E18" s="122" t="str">
        <v>irrigation method</v>
      </c>
      <c r="F18" s="123"/>
      <c r="G18" s="113" t="str">
        <v/>
      </c>
      <c r="H18" s="114" t="str">
        <v>Input</v>
      </c>
      <c r="I18" s="113" t="str">
        <f>X_Cell_Fertiliser_IrrigationMethod</f>
        <v>Drip irrigation</v>
      </c>
    </row>
    <row r="19" spans="1:9" ht="20.100000000000001" customHeight="1" x14ac:dyDescent="0.2">
      <c r="A19" s="5" t="str">
        <f>HYPERLINK("#'Input - Solid waste'!A1", "Solid waste")</f>
        <v>Solid waste</v>
      </c>
    </row>
    <row r="20" spans="1:9" ht="20.100000000000001" customHeight="1" x14ac:dyDescent="0.2">
      <c r="A20" s="5" t="str">
        <f>HYPERLINK("#'Input - Manure sent off-site'!A1", "Manure sent off-site")</f>
        <v>Manure sent off-site</v>
      </c>
      <c r="D20" s="118" t="s">
        <v>836</v>
      </c>
    </row>
    <row r="21" spans="1:9" ht="20.100000000000001" customHeight="1" x14ac:dyDescent="0.2">
      <c r="A21" s="5" t="str">
        <f>HYPERLINK("#'Input - Data quality'!A1", "Data quality")</f>
        <v>Data quality</v>
      </c>
      <c r="D21" s="119" t="s">
        <v>837</v>
      </c>
    </row>
    <row r="22" spans="1:9" ht="20.100000000000001" customHeight="1" x14ac:dyDescent="0.2">
      <c r="A22" s="5" t="str">
        <f>HYPERLINK("#'Input - Fert Prod System'!A1", "Fert Prod System")</f>
        <v>Fert Prod System</v>
      </c>
      <c r="D22" s="120" t="s">
        <v>766</v>
      </c>
      <c r="E22" s="120" t="s">
        <v>820</v>
      </c>
      <c r="F22" s="120" t="s">
        <v>838</v>
      </c>
    </row>
    <row r="23" spans="1:9" ht="20.100000000000001" customHeight="1" x14ac:dyDescent="0.2">
      <c r="A23" s="5" t="str">
        <f>HYPERLINK("#'Input - Fertiliser'!A1", "Fertiliser")</f>
        <v>Fertiliser</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
      <c r="D25" s="15" t="str">
        <v>Urea</v>
      </c>
      <c r="E25" s="15">
        <f>INDEX(Table_MN_j_f,4,4)</f>
        <v>11599.999400000001</v>
      </c>
      <c r="F25" s="15" cm="1">
        <f t="array" ref="F25">Fertiliser_Equations_LeachingAndRunoff.VEERG_5_5_1_1__2_MassOfNitrogenLeachedFromInorganicFertiliser(E25, $I$14, $I$15)</f>
        <v>0</v>
      </c>
    </row>
    <row r="26" spans="1:9" ht="20.100000000000001" customHeight="1" x14ac:dyDescent="0.2">
      <c r="A26" s="6" t="s">
        <v>2</v>
      </c>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
      <c r="A27" s="5" t="str">
        <f>HYPERLINK("#'4.6.1.1-2 Methane'!A1", "4.6.1.1-2 Manure Methane")</f>
        <v>4.6.1.1-2 Manure Methane</v>
      </c>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
      <c r="A28" s="5" t="str">
        <f>HYPERLINK("#'4.6.1.3-4 Direct N20'!A1", "4.6.1.3-4 Manure Direct N2O")</f>
        <v>4.6.1.3-4 Manure Direct N2O</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
      <c r="A29" s="5" t="str">
        <f>HYPERLINK("#'4.6.1.5-6 Atmos Dep'!A1", "4.6.1.5-6 Manure Atmos Dep")</f>
        <v>4.6.1.5-6 Manure Atmos Dep</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
      <c r="A30" s="5" t="str">
        <f>HYPERLINK("#'4.6.1.7-8 Leaching and runoff'!A1", "4.6.1.7-8 Manure Leaching and runoff")</f>
        <v>4.6.1.7-8 Manure Leaching and runoff</v>
      </c>
      <c r="D30" s="15" t="str">
        <v>Nitrogen - Ammoniacal</v>
      </c>
      <c r="E30" s="15">
        <f>INDEX(Table_MN_j_f,9,4)</f>
        <v>1240</v>
      </c>
      <c r="F30" s="15" cm="1">
        <f t="array" ref="F30">Fertiliser_Equations_LeachingAndRunoff.VEERG_5_5_1_1__2_MassOfNitrogenLeachedFromInorganicFertiliser(E30, $I$14, $I$15)</f>
        <v>0</v>
      </c>
    </row>
    <row r="31" spans="1:9" ht="20.100000000000001" customHeight="1" x14ac:dyDescent="0.2">
      <c r="A31" s="5" t="str">
        <f>HYPERLINK("#'4.6.1.9 Manure applied to soils'!A1", "4.6.1.9 Manure applied to soils")</f>
        <v>4.6.1.9 Manure applied to soils</v>
      </c>
      <c r="D31" s="15" t="str">
        <v>Nitrogen - Nitrate</v>
      </c>
      <c r="E31" s="15">
        <f>INDEX(Table_MN_j_f,10,4)</f>
        <v>550</v>
      </c>
      <c r="F31" s="15" cm="1">
        <f t="array" ref="F31">Fertiliser_Equations_LeachingAndRunoff.VEERG_5_5_1_1__2_MassOfNitrogenLeachedFromInorganicFertiliser(E31, $I$14, $I$15)</f>
        <v>0</v>
      </c>
    </row>
    <row r="32" spans="1:9" ht="20.100000000000001" customHeight="1" x14ac:dyDescent="0.2">
      <c r="A32" s="5" t="str">
        <f>HYPERLINK("#'4.6.1.10-11 Soil direct N2O'!A1", "4.6.1.10-11 Soil direct N2O")</f>
        <v>4.6.1.10-11 Soil direct N2O</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
      <c r="A33" s="5" t="str">
        <f>HYPERLINK("#'4.6.1.12-13 Soil atmos dep'!A1", "4.6.1.12-13 Soil atmos dep")</f>
        <v>4.6.1.12-13 Soil atmos dep</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
      <c r="A34" s="5" t="str">
        <f>HYPERLINK("#'4.6.1.14-15 Soil leach runoff'!A1", "4.6.1.14-15 Soil leach runoff")</f>
        <v>4.6.1.14-15 Soil leach runoff</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
      <c r="A35" s="5" t="str">
        <f>HYPERLINK("#'8.1.1.1-2 Transport fuel'!A1", "8.1.1.1-2 Transport fuel")</f>
        <v>8.1.1.1-2 Transport fuel</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
      <c r="A36" s="5" t="str">
        <f>HYPERLINK("#'8.2.1.1-2 Stationary fuel'!A1", "8.2.1.1-2 Stationary fuel")</f>
        <v>8.2.1.1-2 Stationary fuel</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
      <c r="A37" s="5" t="str">
        <f>HYPERLINK("#'10.1.1-2 Solid waste treatment'!A1", "10.1.1.1-2 Solid waste")</f>
        <v>10.1.1.1-2 Solid waste</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
      <c r="A38" s="5" t="str">
        <f>HYPERLINK("#'14.1.1-2 Purchased electricity'!A1", "14.1.1-2 Purchased electricity")</f>
        <v>14.1.1-2 Purchased electricity</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
      <c r="A39" s="5" t="str">
        <f>HYPERLINK("#'15 Scope 3'!A1", "15 Scope 3")</f>
        <v>15 Scope 3</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
      <c r="A40" s="5" t="str">
        <f>HYPERLINK("#'Calcs - Manure sent off-site'!A1", "Calcs - Manure sent off-site")</f>
        <v>Calcs - Manure sent off-site</v>
      </c>
      <c r="D40" s="15" t="str">
        <v>Ammonia</v>
      </c>
      <c r="E40" s="15">
        <f>INDEX(Table_MN_j_f,19,4)</f>
        <v>4117.5</v>
      </c>
      <c r="F40" s="15" cm="1">
        <f t="array" ref="F40">Fertiliser_Equations_LeachingAndRunoff.VEERG_5_5_1_1__2_MassOfNitrogenLeachedFromInorganicFertiliser(E40, $I$14, $I$15)</f>
        <v>0</v>
      </c>
    </row>
    <row r="41" spans="1:11" ht="20.100000000000001" customHeight="1" x14ac:dyDescent="0.2">
      <c r="A41" s="5" t="str">
        <f>HYPERLINK("#'5.1.1.1-2 Inorganic fert N2O'!A1", "5.1.1.1-2 Inorganic fert N2O")</f>
        <v>5.1.1.1-2 Inorganic fert N2O</v>
      </c>
      <c r="D41" s="15" t="str">
        <v>Calcium nitrate</v>
      </c>
      <c r="E41" s="15">
        <f>INDEX(Table_MN_j_f,20,4)</f>
        <v>775</v>
      </c>
      <c r="F41" s="15" cm="1">
        <f t="array" ref="F41">Fertiliser_Equations_LeachingAndRunoff.VEERG_5_5_1_1__2_MassOfNitrogenLeachedFromInorganicFertiliser(E41, $I$14, $I$15)</f>
        <v>0</v>
      </c>
    </row>
    <row r="42" spans="1:11" ht="20.100000000000001" customHeight="1" x14ac:dyDescent="0.2">
      <c r="A42" s="5" t="str">
        <f>HYPERLINK("#'5.1.1.3-4 Inorganic fert CO2'!A1", "5.1.1.3-4 Inorganic fert CO2")</f>
        <v>5.1.1.3-4 Inorganic fert CO2</v>
      </c>
    </row>
    <row r="43" spans="1:11" ht="20.100000000000001" customHeight="1" x14ac:dyDescent="0.2">
      <c r="A43" s="5" t="str">
        <f>HYPERLINK("#'5.2.1.1-2 Organic Fert N2O'!A1", "5.2.1.1-2 Organic Fert N2O")</f>
        <v>5.2.1.1-2 Organic Fert N2O</v>
      </c>
      <c r="D43" s="88" t="s">
        <v>839</v>
      </c>
      <c r="E43" s="83">
        <f>SUM(F23:F41)</f>
        <v>0</v>
      </c>
      <c r="F43" s="89" t="str">
        <f>$E$11</f>
        <v>kg N</v>
      </c>
    </row>
    <row r="44" spans="1:11" ht="20.100000000000001" customHeight="1" x14ac:dyDescent="0.2">
      <c r="A44" s="5" t="str">
        <f>HYPERLINK("#'5.3.1.1-2 Lime CO2'!A1", "5.3.1.1-2 Lime CO2")</f>
        <v>5.3.1.1-2 Lime CO2</v>
      </c>
    </row>
    <row r="45" spans="1:11" ht="20.100000000000001" customHeight="1" x14ac:dyDescent="0.2">
      <c r="A45" s="5" t="str">
        <f>HYPERLINK("#'5.4.1.1-4 Atmos deposition'!A1", "5.4.1.1-4 Atmos deposition")</f>
        <v>5.4.1.1-4 Atmos deposition</v>
      </c>
      <c r="C45" s="121"/>
      <c r="D45" s="121"/>
      <c r="E45" s="121"/>
      <c r="F45" s="121"/>
      <c r="G45" s="121"/>
      <c r="H45" s="121"/>
      <c r="I45" s="121"/>
      <c r="J45" s="121"/>
      <c r="K45" s="121"/>
    </row>
    <row r="46" spans="1:11" ht="20.100000000000001" customHeight="1" x14ac:dyDescent="0.2">
      <c r="A46" s="117" t="str">
        <f>HYPERLINK("#'5.5.1.1-2 Leaching and runoff'!A1", "5.5.1.1-2 Leaching and runoff")</f>
        <v>5.5.1.1-2 Leaching and runoff</v>
      </c>
    </row>
    <row r="47" spans="1:11" ht="20.100000000000001" customHeight="1" x14ac:dyDescent="0.2">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
      <c r="D48" s="17" t="str" cm="1">
        <f t="array" ref="D48">Fertiliser_Equations_LeachingAndRunoff.VEERG_5_5_1_1__3_MassOfNitrogenLeachedFromOrganicFertiliser_Source()</f>
        <v>VEERG 2026: 5.5, Equation (3)</v>
      </c>
    </row>
    <row r="49" spans="1:9" ht="20.100000000000001" customHeight="1" x14ac:dyDescent="0.2">
      <c r="A49" s="80" t="s">
        <v>1</v>
      </c>
      <c r="D49" s="112" t="s">
        <v>328</v>
      </c>
      <c r="E49" s="112" t="str" cm="1">
        <f t="array" aca="1" ref="E49" ca="1">Common_InputFunctions.Utility_DisplayFunctionName(F65)</f>
        <v>=Fertiliser_Equations_LeachingAndRunoff.VEERG_5_5_1_1__3_MassOfNitrogenLeachedFromOrganicFertiliser</v>
      </c>
    </row>
    <row r="50" spans="1:9" ht="20.100000000000001" customHeight="1" x14ac:dyDescent="0.2">
      <c r="A50" s="5" t="str">
        <f>HYPERLINK("#'Constants - Poultry'!A1", "Constants - Poultry")</f>
        <v>Constants - Poultry</v>
      </c>
    </row>
    <row r="51" spans="1:9" ht="20.100000000000001" customHeight="1" x14ac:dyDescent="0.2">
      <c r="A51" s="5" t="str">
        <f>HYPERLINK("#'Constants - Common livestock'!A1", "Constants - Common Livestock")</f>
        <v>Constants - Common Livestock</v>
      </c>
    </row>
    <row r="52" spans="1:9" ht="20.100000000000001" customHeight="1" x14ac:dyDescent="0.2">
      <c r="A52" s="5" t="str">
        <f>HYPERLINK("#'Constants - Electricity'!A1", "Constants - Electricity")</f>
        <v>Constants - Electricity</v>
      </c>
      <c r="D52" s="75" t="s">
        <v>329</v>
      </c>
      <c r="E52" s="1" t="str" cm="1">
        <f t="array" ref="E52">Fertiliser_Equations_LeachingAndRunoff.VEERG_5_5_1_1__3_MassOfNitrogenLeachedFromOrganicFertiliser_Variable()</f>
        <v>M_leachorganicj</v>
      </c>
    </row>
    <row r="53" spans="1:9" ht="20.100000000000001" customHeight="1" x14ac:dyDescent="0.2">
      <c r="A53" s="5" t="str">
        <f>HYPERLINK("#'Constants - Fertiliser'!A1", "Constants - Fertiliser")</f>
        <v>Constants - Fertiliser</v>
      </c>
      <c r="D53" s="75" t="s">
        <v>118</v>
      </c>
      <c r="E53" s="9" t="str" cm="1">
        <f t="array" ref="E53">Fertiliser_Equations_LeachingAndRunoff.VEERG_5_5_1_1__3_MassOfNitrogenLeachedFromOrganicFertiliser_Unit()</f>
        <v>kg N</v>
      </c>
    </row>
    <row r="54" spans="1:9" ht="20.100000000000001" customHeight="1" x14ac:dyDescent="0.2">
      <c r="A54" s="5" t="str">
        <f>HYPERLINK("#'Constants - Fuel'!A1", "Constants - Fuel")</f>
        <v>Constants - Fuel</v>
      </c>
    </row>
    <row r="55" spans="1:9" ht="20.100000000000001" customHeight="1" x14ac:dyDescent="0.2">
      <c r="A55" s="5" t="str">
        <f>HYPERLINK("#'Constants - Scope 3'!A1", "Constants - Scope 3")</f>
        <v>Constants - Scope 3</v>
      </c>
      <c r="D55" s="113" t="str" cm="1">
        <f t="array" ref="D55:E60">_xlfn.CHOOSECOLS(Fertiliser_Equations_LeachingAndRunoff.VEERG_5_5_1_1__3_MassOfNitrogenLeachedFromOrganicFertiliser_Arguments(), 1, 2)</f>
        <v>MNSoil_jf</v>
      </c>
      <c r="E55" s="122" t="str">
        <v>mass of nitrogen in organic fertiliser</v>
      </c>
      <c r="F55" s="123"/>
      <c r="G55" s="113" t="str" cm="1">
        <f t="array" ref="G55:H60">_xlfn.CHOOSECOLS(Fertiliser_Equations_LeachingAndRunoff.VEERG_5_5_1_1__3_MassOfNitrogenLeachedFromOrganicFertiliser_Arguments(), 3,4)</f>
        <v>kg N</v>
      </c>
      <c r="H55" s="115" t="str">
        <v>Calculated from 5.2.1.1 (2)</v>
      </c>
      <c r="I55" s="116" t="str" cm="1">
        <f t="array" aca="1" ref="I55" ca="1">HYPERLINK(Common_InputFunctions.Utility_SourceHyperlink(D62), D62)</f>
        <v>Table_M_leach_organic_j</v>
      </c>
    </row>
    <row r="56" spans="1:9" ht="20.100000000000001" customHeight="1" x14ac:dyDescent="0.2">
      <c r="A56" s="5" t="str">
        <f>HYPERLINK("#'Constants - Solid Waste'!A1", "Constants - Solid Waste")</f>
        <v>Constants - Solid Waste</v>
      </c>
      <c r="D56" s="113" t="str">
        <v>FracWETj</v>
      </c>
      <c r="E56" s="122" t="str">
        <v>fraction of N available for leaching and runoff</v>
      </c>
      <c r="F56" s="123"/>
      <c r="G56" s="113" t="str">
        <v>fraction</v>
      </c>
      <c r="H56" s="115" t="str">
        <v>Constant</v>
      </c>
      <c r="I56" s="113">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
      <c r="A57" s="5" t="str">
        <f>HYPERLINK("#'Constants - Common'!A1", "Constants - Common")</f>
        <v>Constants - Common</v>
      </c>
      <c r="D57" s="113" t="str">
        <v>FracLEACH</v>
      </c>
      <c r="E57" s="122" t="str">
        <v>fraction of N that is lost through leaching and runoff</v>
      </c>
      <c r="F57" s="123"/>
      <c r="G57" s="113" t="str">
        <v>fraction</v>
      </c>
      <c r="H57" s="115" t="str">
        <v>Constant</v>
      </c>
      <c r="I57" s="113">
        <f>Fertiliser_FracLEACH_Data</f>
        <v>0.24</v>
      </c>
    </row>
    <row r="58" spans="1:9" ht="20.100000000000001" customHeight="1" x14ac:dyDescent="0.2">
      <c r="D58" s="113" t="str">
        <v>z</v>
      </c>
      <c r="E58" s="122" t="str">
        <v>location in leaching zone</v>
      </c>
      <c r="F58" s="123"/>
      <c r="G58" s="113" t="str">
        <v/>
      </c>
      <c r="H58" s="114" t="str">
        <v>Input</v>
      </c>
      <c r="I58" s="113" t="str">
        <f>X_Cell_Site_LeachingZone</f>
        <v>NO - Not in leaching zone</v>
      </c>
    </row>
    <row r="59" spans="1:9" ht="20.100000000000001" customHeight="1" x14ac:dyDescent="0.2">
      <c r="D59" s="113" t="str">
        <v>j</v>
      </c>
      <c r="E59" s="122" t="str">
        <v>production system</v>
      </c>
      <c r="F59" s="123"/>
      <c r="G59" s="113" t="str">
        <v/>
      </c>
      <c r="H59" s="114" t="str">
        <v>Input</v>
      </c>
      <c r="I59" s="113" t="str">
        <f>X_Cell_Fertiliser_ProductionSystem</f>
        <v>Crop</v>
      </c>
    </row>
    <row r="60" spans="1:9" ht="20.100000000000001" customHeight="1" x14ac:dyDescent="0.2">
      <c r="D60" s="113" t="str">
        <v>ir</v>
      </c>
      <c r="E60" s="122" t="str">
        <v>irrigation method</v>
      </c>
      <c r="F60" s="123"/>
      <c r="G60" s="113" t="str">
        <v/>
      </c>
      <c r="H60" s="114" t="str">
        <v>Input</v>
      </c>
      <c r="I60" s="113" t="str">
        <f>X_Cell_Fertiliser_IrrigationMethod</f>
        <v>Drip irrigation</v>
      </c>
    </row>
    <row r="62" spans="1:9" ht="20.100000000000001" customHeight="1" x14ac:dyDescent="0.2">
      <c r="D62" s="118" t="s">
        <v>840</v>
      </c>
    </row>
    <row r="63" spans="1:9" ht="20.100000000000001" customHeight="1" x14ac:dyDescent="0.2">
      <c r="D63" s="119" t="s">
        <v>841</v>
      </c>
    </row>
    <row r="64" spans="1:9" ht="20.100000000000001" customHeight="1" x14ac:dyDescent="0.2">
      <c r="D64" s="78" t="s">
        <v>802</v>
      </c>
      <c r="E64" s="235" t="s">
        <v>806</v>
      </c>
      <c r="F64" s="120" t="s">
        <v>842</v>
      </c>
    </row>
    <row r="65" spans="1:11" ht="20.100000000000001" customHeight="1" x14ac:dyDescent="0.2">
      <c r="D65" s="15" t="str">
        <f>INDEX(Table_MNSoil_j_f,2,1)</f>
        <v>Manure - Other</v>
      </c>
      <c r="E65" s="15">
        <f>INDEX(Table_MNSoil_j_f,2,6)</f>
        <v>300</v>
      </c>
      <c r="F65" s="15" cm="1">
        <f t="array" ref="F65">Fertiliser_Equations_LeachingAndRunoff.VEERG_5_5_1_1__3_MassOfNitrogenLeachedFromOrganicFertiliser(E65,$I$56, $I$57)</f>
        <v>0</v>
      </c>
    </row>
    <row r="66" spans="1:11" ht="20.100000000000001" customHeight="1" x14ac:dyDescent="0.2">
      <c r="D66" s="15" t="str">
        <f>INDEX(Table_MNSoil_j_f,3,1)</f>
        <v>Manure - Poultry</v>
      </c>
      <c r="E66" s="15">
        <f>INDEX(Table_MNSoil_j_f,3,6)</f>
        <v>250</v>
      </c>
      <c r="F66" s="15" cm="1">
        <f t="array" ref="F66">Fertiliser_Equations_LeachingAndRunoff.VEERG_5_5_1_1__3_MassOfNitrogenLeachedFromOrganicFertiliser(E66,$I$56, $I$57)</f>
        <v>0</v>
      </c>
    </row>
    <row r="67" spans="1:11" ht="20.100000000000001" customHeight="1" x14ac:dyDescent="0.2">
      <c r="D67" s="15" t="str">
        <f>INDEX(Table_MNSoil_j_f,4,1)</f>
        <v>Other organic fertiliser</v>
      </c>
      <c r="E67" s="15">
        <f>INDEX(Table_MNSoil_j_f,4,6)</f>
        <v>160</v>
      </c>
      <c r="F67" s="15" cm="1">
        <f t="array" ref="F67">Fertiliser_Equations_LeachingAndRunoff.VEERG_5_5_1_1__3_MassOfNitrogenLeachedFromOrganicFertiliser(E67,$I$56, $I$57)</f>
        <v>0</v>
      </c>
    </row>
    <row r="68" spans="1:11" ht="20.100000000000001" customHeight="1" x14ac:dyDescent="0.2">
      <c r="A68" s="79" t="str">
        <f>HYPERLINK("#A1", "▲ Back to top")</f>
        <v>▲ Back to top</v>
      </c>
      <c r="D68" s="15">
        <f>'5.2.1.1-2 Organic Fert N2O'!D23</f>
        <v>0</v>
      </c>
      <c r="E68" s="15">
        <f>'5.2.1.1-2 Organic Fert N2O'!I23</f>
        <v>0</v>
      </c>
      <c r="F68" s="15" cm="1">
        <f t="array" ref="F68">Fertiliser_Equations_LeachingAndRunoff.VEERG_5_5_1_1__3_MassOfNitrogenLeachedFromOrganicFertiliser(E68,$I$56, $I$57)</f>
        <v>0</v>
      </c>
    </row>
    <row r="69" spans="1:11" ht="20.100000000000001" customHeight="1" x14ac:dyDescent="0.2">
      <c r="D69" s="15">
        <f>'5.2.1.1-2 Organic Fert N2O'!D24</f>
        <v>0</v>
      </c>
      <c r="E69" s="15">
        <f>'5.2.1.1-2 Organic Fert N2O'!I24</f>
        <v>0</v>
      </c>
      <c r="F69" s="15" cm="1">
        <f t="array" ref="F69">Fertiliser_Equations_LeachingAndRunoff.VEERG_5_5_1_1__3_MassOfNitrogenLeachedFromOrganicFertiliser(E69,$I$56, $I$57)</f>
        <v>0</v>
      </c>
    </row>
    <row r="70" spans="1:11" ht="20.100000000000001" customHeight="1" x14ac:dyDescent="0.2">
      <c r="D70" s="15">
        <f>'5.2.1.1-2 Organic Fert N2O'!D25</f>
        <v>0</v>
      </c>
      <c r="E70" s="15">
        <f>'5.2.1.1-2 Organic Fert N2O'!I25</f>
        <v>0</v>
      </c>
      <c r="F70" s="15" cm="1">
        <f t="array" ref="F70">Fertiliser_Equations_LeachingAndRunoff.VEERG_5_5_1_1__3_MassOfNitrogenLeachedFromOrganicFertiliser(E70,$I$56, $I$57)</f>
        <v>0</v>
      </c>
    </row>
    <row r="71" spans="1:11" ht="20.100000000000001" customHeight="1" x14ac:dyDescent="0.2">
      <c r="D71" s="15">
        <f>'5.2.1.1-2 Organic Fert N2O'!D26</f>
        <v>0</v>
      </c>
      <c r="E71" s="15">
        <f>'5.2.1.1-2 Organic Fert N2O'!I26</f>
        <v>0</v>
      </c>
      <c r="F71" s="15" cm="1">
        <f t="array" ref="F71">Fertiliser_Equations_LeachingAndRunoff.VEERG_5_5_1_1__3_MassOfNitrogenLeachedFromOrganicFertiliser(E71,$I$56, $I$57)</f>
        <v>0</v>
      </c>
    </row>
    <row r="72" spans="1:11" ht="20.100000000000001" customHeight="1" x14ac:dyDescent="0.2">
      <c r="D72" s="15">
        <f>'5.2.1.1-2 Organic Fert N2O'!D27</f>
        <v>0</v>
      </c>
      <c r="E72" s="15">
        <f>'5.2.1.1-2 Organic Fert N2O'!I27</f>
        <v>0</v>
      </c>
      <c r="F72" s="15" cm="1">
        <f t="array" ref="F72">Fertiliser_Equations_LeachingAndRunoff.VEERG_5_5_1_1__3_MassOfNitrogenLeachedFromOrganicFertiliser(E72,$I$56, $I$57)</f>
        <v>0</v>
      </c>
    </row>
    <row r="73" spans="1:11" ht="20.100000000000001" customHeight="1" x14ac:dyDescent="0.2">
      <c r="D73" s="15">
        <f>'5.2.1.1-2 Organic Fert N2O'!D28</f>
        <v>0</v>
      </c>
      <c r="E73" s="15">
        <f>'5.2.1.1-2 Organic Fert N2O'!I28</f>
        <v>0</v>
      </c>
      <c r="F73" s="15" cm="1">
        <f t="array" ref="F73">Fertiliser_Equations_LeachingAndRunoff.VEERG_5_5_1_1__3_MassOfNitrogenLeachedFromOrganicFertiliser(E73,$I$56, $I$57)</f>
        <v>0</v>
      </c>
    </row>
    <row r="74" spans="1:11" ht="20.100000000000001" customHeight="1" x14ac:dyDescent="0.2">
      <c r="D74" s="15">
        <f>'5.2.1.1-2 Organic Fert N2O'!D29</f>
        <v>0</v>
      </c>
      <c r="E74" s="15">
        <f>'5.2.1.1-2 Organic Fert N2O'!I29</f>
        <v>0</v>
      </c>
      <c r="F74" s="15" cm="1">
        <f t="array" ref="F74">Fertiliser_Equations_LeachingAndRunoff.VEERG_5_5_1_1__3_MassOfNitrogenLeachedFromOrganicFertiliser(E74,$I$56, $I$57)</f>
        <v>0</v>
      </c>
    </row>
    <row r="75" spans="1:11" ht="20.100000000000001" customHeight="1" x14ac:dyDescent="0.2">
      <c r="D75" s="15">
        <f>'5.2.1.1-2 Organic Fert N2O'!D30</f>
        <v>0</v>
      </c>
      <c r="E75" s="15">
        <f>'5.2.1.1-2 Organic Fert N2O'!I30</f>
        <v>0</v>
      </c>
      <c r="F75" s="15" cm="1">
        <f t="array" ref="F75">Fertiliser_Equations_LeachingAndRunoff.VEERG_5_5_1_1__3_MassOfNitrogenLeachedFromOrganicFertiliser(E75,$I$56, $I$57)</f>
        <v>0</v>
      </c>
    </row>
    <row r="77" spans="1:11" ht="20.100000000000001" customHeight="1" x14ac:dyDescent="0.2">
      <c r="D77" s="88" t="s">
        <v>843</v>
      </c>
      <c r="E77" s="83">
        <f>SUM(F65:F75)</f>
        <v>0</v>
      </c>
      <c r="F77" s="89" t="str">
        <f>$E$53</f>
        <v>kg N</v>
      </c>
    </row>
    <row r="79" spans="1:11" ht="20.100000000000001" customHeight="1" x14ac:dyDescent="0.2">
      <c r="C79" s="121"/>
      <c r="D79" s="121"/>
      <c r="E79" s="121"/>
      <c r="F79" s="121"/>
      <c r="G79" s="121"/>
      <c r="H79" s="121"/>
      <c r="I79" s="121"/>
      <c r="J79" s="121"/>
      <c r="K79" s="121"/>
    </row>
    <row r="81" spans="4:10" ht="20.100000000000001" customHeight="1" x14ac:dyDescent="0.2">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
      <c r="D82" s="17" t="str" cm="1">
        <f t="array" ref="D82">Fertiliser_Equations_LeachingAndRunoff.VEERG_5_5_1_1__1_FertiliserLeachingAndRunoffN2OEmissions_Source()</f>
        <v>VEERG 2026: 5.5, Equation (1)</v>
      </c>
    </row>
    <row r="83" spans="4:10" ht="20.100000000000001" customHeight="1" x14ac:dyDescent="0.2">
      <c r="D83" s="112" t="s">
        <v>328</v>
      </c>
      <c r="E83" s="112" t="str">
        <f ca="1">Common_InputFunctions.Utility_DisplayFunctionName(VEERG_5_5_1_1__1_FertiliserLeachingAndRunoffN2OEmissions_Result_Method1)</f>
        <v>=Fertiliser_Equations_LeachingAndRunoff.VEERG_5_5_1_1__1_FertiliserLeachingAndRunoffN2OEmissions</v>
      </c>
    </row>
    <row r="86" spans="4:10" ht="20.100000000000001" customHeight="1" x14ac:dyDescent="0.2">
      <c r="D86" s="75" t="s">
        <v>329</v>
      </c>
      <c r="E86" s="1" t="str" cm="1">
        <f t="array" ref="E86">Fertiliser_Equations_LeachingAndRunoff.VEERG_5_5_1_1__1_FertiliserLeachingAndRunoffN2OEmissions_Variable()</f>
        <v>E_fertleach</v>
      </c>
    </row>
    <row r="87" spans="4:10" ht="20.100000000000001" customHeight="1" x14ac:dyDescent="0.2">
      <c r="D87" s="75" t="s">
        <v>118</v>
      </c>
      <c r="E87" s="9" t="str" cm="1">
        <f t="array" ref="E87">Fertiliser_Equations_LeachingAndRunoff.VEERG_5_5_1_1__1_FertiliserLeachingAndRunoffN2OEmissions_Unit()</f>
        <v>t N2O</v>
      </c>
    </row>
    <row r="89" spans="4:10" ht="20.100000000000001" customHeight="1" x14ac:dyDescent="0.2">
      <c r="D89" s="113" t="str" cm="1">
        <f t="array" ref="D89:E92">_xlfn.CHOOSECOLS(Fertiliser_Equations_LeachingAndRunoff.VEERG_5_5_1_1__1_FertiliserLeachingAndRunoffN2OEmissions_Arguments(), 1, 2)</f>
        <v>M_leachinorganicj</v>
      </c>
      <c r="E89" s="122" t="str">
        <v>mass of nitrogen lost through leaching and runoff from inorganic fertiliser application in production system j</v>
      </c>
      <c r="F89" s="136"/>
      <c r="G89" s="123"/>
      <c r="H89" s="113" t="str" cm="1">
        <f t="array" ref="H89:I92">_xlfn.CHOOSECOLS(Fertiliser_Equations_LeachingAndRunoff.VEERG_5_5_1_1__1_FertiliserLeachingAndRunoffN2OEmissions_Arguments(), 3,4)</f>
        <v>kg N</v>
      </c>
      <c r="I89" s="115" t="str">
        <v>Calculated from 5.5.1.1 (2)</v>
      </c>
      <c r="J89" s="113">
        <f>$E$43</f>
        <v>0</v>
      </c>
    </row>
    <row r="90" spans="4:10" ht="20.100000000000001" customHeight="1" x14ac:dyDescent="0.2">
      <c r="D90" s="113" t="str">
        <v>M_leachorganicj</v>
      </c>
      <c r="E90" s="122" t="str">
        <v>mass of nitrogen lost through leaching and runoff from organic fertiliser application</v>
      </c>
      <c r="F90" s="136"/>
      <c r="G90" s="123"/>
      <c r="H90" s="113" t="str">
        <v>kg N</v>
      </c>
      <c r="I90" s="115" t="str">
        <v>Calculated from 5.5.1.1 (3)</v>
      </c>
      <c r="J90" s="113">
        <f>$E$77</f>
        <v>0</v>
      </c>
    </row>
    <row r="91" spans="4:10" ht="20.100000000000001" customHeight="1" x14ac:dyDescent="0.2">
      <c r="D91" s="113" t="str">
        <v>EF_leach</v>
      </c>
      <c r="E91" s="122" t="str">
        <v>emission factor for nitrogen leaching and runoff</v>
      </c>
      <c r="F91" s="136"/>
      <c r="G91" s="123"/>
      <c r="H91" s="113" t="str">
        <v>kg N2O-N/kg N</v>
      </c>
      <c r="I91" s="115" t="str">
        <v>Constant</v>
      </c>
      <c r="J91" s="113">
        <f>Fertiliser_EFLeach_Data</f>
        <v>1.0999999999999999E-2</v>
      </c>
    </row>
    <row r="92" spans="4:10" ht="20.100000000000001" customHeight="1" x14ac:dyDescent="0.2">
      <c r="D92" s="113" t="str">
        <v>C_N2O</v>
      </c>
      <c r="E92" s="122" t="str">
        <v>factor to convert elemental mass of nitrous oxide to molecular mass</v>
      </c>
      <c r="F92" s="136"/>
      <c r="G92" s="123"/>
      <c r="H92" s="113" t="str">
        <v/>
      </c>
      <c r="I92" s="115" t="str">
        <v>Constant</v>
      </c>
      <c r="J92" s="126">
        <f>Common_InputFunctions.Utility_LookupValueInTableNumber("N2O",Table_GasToMolecularConversionFactor[Gas],Table_GasToMolecularConversionFactor[Conversion factor combined])</f>
        <v>1.5714285714285714</v>
      </c>
    </row>
    <row r="94" spans="4:10" ht="20.100000000000001" customHeight="1" x14ac:dyDescent="0.2">
      <c r="D94" s="85" t="s">
        <v>844</v>
      </c>
      <c r="E94" s="86" cm="1">
        <f t="array" ref="E94">Fertiliser_Equations_LeachingAndRunoff.VEERG_5_5_1_1__1_FertiliserLeachingAndRunoffN2OEmissions(J89,J90,J91,J92)</f>
        <v>0</v>
      </c>
      <c r="F94" s="95" t="str">
        <f>$E$87</f>
        <v>t N2O</v>
      </c>
    </row>
    <row r="96" spans="4:10" ht="20.100000000000001" customHeight="1" x14ac:dyDescent="0.2">
      <c r="D96" s="126" t="str" cm="1">
        <f t="array" ref="D96:E97">Common_Equations.Common_ConvertN2OToCO2e_Arguments()</f>
        <v>EN2O</v>
      </c>
      <c r="E96" s="129" t="str">
        <v>Nitrous oxide emissions (t N2O)</v>
      </c>
      <c r="F96" s="130"/>
      <c r="G96" s="15">
        <f>VEERG_5_5_1_1__1_FertiliserLeachingAndRunoffN2OEmissions_Result_Method1</f>
        <v>0</v>
      </c>
    </row>
    <row r="97" spans="1:7" ht="20.100000000000001" customHeight="1" x14ac:dyDescent="0.2">
      <c r="D97" s="126" t="str">
        <v>GWPN2O</v>
      </c>
      <c r="E97" s="129" t="str">
        <v>Global warming potential for nitrous oxide (t CO2-e / t N2O)</v>
      </c>
      <c r="F97" s="130"/>
      <c r="G97" s="15">
        <f>Common_InputFunctions.Utility_LookupValueInTableNumber("N2O",Table_GWPData[Gas],Table_GWPData[CO2-e factor])</f>
        <v>265</v>
      </c>
    </row>
    <row r="98" spans="1:7" ht="20.100000000000001" customHeight="1" x14ac:dyDescent="0.2">
      <c r="A98" s="79" t="str">
        <f>HYPERLINK("#A1", "▲ Back to top")</f>
        <v>▲ Back to top</v>
      </c>
    </row>
    <row r="99" spans="1:7" ht="20.100000000000001" customHeight="1" x14ac:dyDescent="0.2">
      <c r="D99" s="83" t="s">
        <v>377</v>
      </c>
      <c r="E99" s="83" cm="1">
        <f t="array" ref="E99">Common_Equations.Common_ConvertN2OToCO2e(G96,G97)</f>
        <v>0</v>
      </c>
      <c r="F99" s="89" t="str" cm="1">
        <f t="array" ref="F99">Common_Equations.Common_ConvertN2OToCO2e_Unit()</f>
        <v>t CO2e</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XAB1ADAAMAAyADcAQgBlAGwAdAAgAG0AYQBuAHUAcgBlACAAcgBlAG0AbwB2AGEAbABcAHUAMAAwADIANwAgAGEAbgBkACAAXAB1ADAAMAAyADcATQBhAG4AdQByAGUAIABzAHQAbwByAGUAZAAgAGkAbgAgAGgAbwB1AHMAZQBcAHUAMAAwADIANwAgAE0ATQBTACAAYQBzACAAbgBvACAAdABlAG0AcABlAHIAYQB0AHUAcgBlACAAdgBhAGwAdQBlAHMAIABlAHgAaQBzAHQAIABpAG4AIABUAGEAYgBsAGUAIABBAC4AMQAuADgALgAx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M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MAXwBTAHQAYQBnAGUAMgBNAGUAdABoAGEAbgBlAFAAcgBvAGQAdQBjAHQAaQBvAG4AXwBWAGEAcgBpAGEAdABpAG8AbgBcAG4AIAAgACAAPQBMAEEATQBCAEQAQQAoAFwAIgBWAEEAUgBJAEEAVABJAE8ATgAgAE8ATgAgAFMATwBVAFIAQwBFADoAIA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WAFMATABfAG0AVAAxAFwAIgAsAFwAIgBmAHIAYQBjAHQAaQBvAG4AIABvAGYAIAB2AG8AbABhAHQAaQBsAGUAIABzAG8AbABpAGQAcwAgAGwAbwBzAHQAIABkAHUAcgBpAG4AZwAgAHMAdABvAHIAYQBnAGUAIABpAG4AIAB0AGgAZQAgAHAAcgBpAG0AYQByAHkAIABzAHkAcwB0AGUAb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RABNAEQAXwBqAGsAXAAiACwAXAAiAGQAcgB5ACAAbQBhAHQAdABlAHIAIABkAGkAZwBlAHMAdABpAGIAaQBsAGkAdAB5ACAAZgBvAHIAIABlAGEAYwBoACAAYwBsAGEAcwBzACAAYQBuAGQAIABzAHUAYgBjAGwAYQBzAHMAXAAiACwAIABcACIAZgByAGEAYwB0AGkAbwBuAFwAIgAsACAAXAAiAEkAbgBwAHUAdABcACIAOwBcAG4AIAAgACAAIAAgACAAIAAgACAAIABcACIAQQBfAGoAXAAiACwAXAAiAGEAcwBoACAAYwBvAG4AdABlAG4AdAAgAG8AZgAgAG0AYQBuAHUAcgBlACAAZgBvAHIAIABlAGEAYwBoACAAYwBsAGEAcwBzACAAYQBuAGQAIABzAHUAYgBjAGwAYQBzAHMAXAAiACwAIABcACIAZgByAGEAYwB0AGkAbwBuAFwAIgAsACAAXAAiAEMAbwBuAHMAdABhAG4AdABcACIAXABuACAAIAAgACAAIAAgACAAIAB9ACwAIAByACwAIABjACkAXABuACAAIAAgACAAIAAgACkAXABuACAAIAAgACAAKQBcAG4AIAAgACkAOwBcAG4AIgB9ACwAewAiAHAAYQB0AGgAIgA6ACIALwBwAHIAbwBqAGUAYwB0AHMALwBNAE0AUwBfAFAAbwB1AGwAdA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wAgAE0AZQB0AGgAbwBkACAAMQAgAC0AIABNAGEAbgB1AHIAZQ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sAfQBcAFwAcwB1AG0AXwB7AG0AfQBcAFwAcwB1AG0AXwB7AFQAfQAoAE0ATgBfAHsAagBrAG0AVAB9AFwAXAB0AGkAbQBlAHMAIABFAEYAXwB7AGoAbQB9AFwAXAB0AGkAbQBlAHMAIABDAF8AewBOADIATwB9ACkAXABcAHQAaQBtAGUAcwAxADAAXgB7AC0AMwB9AFwAbgBNAE4AXwBqAGsAbQBUACAAPQAgAG4AaQB0AHIAbwBnAGUAbgAgAHAAZQByACAAcABvAHUAbAB0AHIAeQAgAGMAbABhAHMAcwAsACAAcwB1AGIAYwBsAGEAcwBz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MAXwBfADEAXwBUAG8AdABhAGwAQQBuAG4AdQBhAGwARABpAHIAZQBjAHQATgBpAHQAcgBvAHUAcwBPAHgAaQBkAGUARQBtAGkAcwBzAGkAbwBuAHMARgByAG8AbQBNAE0AUwBcAG4AIAAgAD0ATABBAE0AQgBEAEEAKABcAG4AIAAgACAAIABNAE4AXwBqAGsAbQBUACwAIABFAEYAXwBqAG0ALAAgAEMAXwBOADIATwAsAFwAbgAgACAAIAAgAE0ATgBfAGoAawBtAFQAIAAqACAARQBGAF8AagBtACAAKgAgAEMAXwBOADIATwAgACoAIAAxADAAIABeACAALQAzAFwAbgAgACAAKQA7AFwAbgBcAG4AVgBFAEUAUgBHAF8ANABfADY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2AF8AMQBfADMAXwBfADEAXwBUAG8AdABhAGwAQQBuAG4AdQBhAGwARABpAHIAZQBjAHQATgBpAHQAcgBvAHUAcwBPAHgAaQBkAGUARQBtAGkAcwBzAGkAbwBuAHMARgByAG8AbQBNAE0AUwBfAFYAYQByAGkAYQBiAGwAZQBcAG4AIAAgAD0ATABBAE0AQgBEAEEAKABcACIARQBfAE4AMgBPAGQAaQByAFwAIgApADsAXABuAFwAbgBWAEUARQBSAEcAXwA0AF8ANgBfADEAXwAzAF8AXwAxAF8AVABvAHQAYQBsAEEAbgBuAHUAYQBsAEQAaQByAGUAYwB0AE4AaQB0AHIAbwB1AHMATwB4AGkAZABlAEUAbQBpAHMAcwBpAG8AbgBzAEYAcgBvAG0ATQBNAFMAXwBVAG4AaQB0AFwAbgAgACAAPQBMAEEATQBCAEQAQQAoAFwAIgB0ACAATgAyAE8AXAAiACkAOwBcAG4AXABuAFYARQBFAFIARwBfADQAXwA2AF8AMQBfADMAXwBfADEAXwBUAG8AdABhAGwAQQBuAG4AdQBhAGwARABpAHIAZQBjAHQATgBpAHQAcgBvAHUAcwBPAHgAaQBkAGUARQBtAGkAcwBzAGkAbwBuAHMARgByAG8AbQBNAE0AUwBfAFMAbwB1AHIAYwBlAFwAbgAgACAAPQBMAEEATQBCAEQAQQAoAFwAIgBWAEUARQBSAEcAIAAyADAAMgA2ADoAIAA0AC4ANgAuADEALgAzACwAIABFAHEAdQBhAHQAaQBvAG4AIAAoADEAKQBcACIAKQA7AFwAbgBcAG4AVgBFAEUAUgBHAF8ANABfADYAXwAxAF8AMwBfAF8AMQBfAFQAbwB0AGEAbABBAG4AbgB1AGEAbABEAGkAcgBlAGMAdABOAGkAdAByAG8AdQBzAE8AeABpAGQAZQBFAG0AaQBzAHMAaQBvAG4AcwBGAHIAbwBtAE0ATQBTAF8ATgBJAFIAUgBlAGYAZQByAGUAbgBjAGUAXABuACAAIAA9AEwAQQBNAEIARABBACgAXAAiAFwAIgApADsAXABuAFwAbgBWAEUARQBSAEcAXwA0AF8ANg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sAfQBcAFwAcwB1AG0AXwB7AG0AfQBcAFwAcwB1AG0AXwB7AFQAfQAoAE0ATgBfAHsAagBrAG0AVAB9AFwAXAB0AGkAbQBlAHMAIABFAEYAXwB7AGoAbQB9AFwAXAB0AGkAbQBlAHMAIABDAF8AewBOADIATwB9ACkAXABcAHQAaQBtAGUAcwAxADAAXgB7AC0AMwB9AFwAIgApADsAXABuAFwAbgBWAEUARQBSAEcAXwA0AF8ANg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rAG0AVABcACIALABcACIAbgBpAHQAcgBvAGcAZQBuACAAcABlAHIAIABwAG8AdQBsAHQAcgB5ACAAYwBsAGEAcwBzACwAIABzAHUAYgBjAGwAYQBzAHMALAAgAE0ATQBTACAAYQBuAGQAIAB0AHIAZQBhAHQAbQBlAG4AdAAgAHMAdABhAGcAZQBcACIALAAgAFwAIgBrAGcAIABOAFwAIgAsACAAXAAiAEMAYQBsAGMAdQBsAGEAdABlAGQAIABmAHIAbwBtACAANAAuADYALgAxAC4AMwAgACgAMgApACgANgApAFwAIgA7AFwAbgAgACAAIAAgACAAIAAgACAAIAAgAFwAIgBFAEYAXwBqAG0AXAAiACwAXAAiAG4AaQB0AHIAbwB1AHMAIABvAHgAaQBkAGUAIABlAG0AaQBzAHMAaQBvAG4AIABmAGEAYwB0AG8AcgAgAGYAbwByACAATQBNAFM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BcACIALAAgAFwAIgBrAGcAIABOAFwAIgAsACAAXAAiAEMAYQBsAGMAdQBsAGEAdABlAGQAIABmAHIAbwBtACAANAAuADYALgAxAC4AMwAgACgAMwApAFwAIgA7AFwAbgAgACAAIAAgACAAIAAgACAAIAAgAFwAIgBNAE0AUwBfAGoAbQBUADEAXAAiACwAXAAiAGYAcgBhAGMAdABpAG8AbgAgAG8AZgAgAG0AYQBuAHUAcgBlACAAaQBuACAAZQBhAGMAaAAgAHAAcgBpAG0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MAXwBBAG4AbgB1AGEAbABOAGkAdAByAG8AZwBlAG4ARQB4AGMAcgBlAHQAaQBvAG4AXABuAEEAbgBuAHUAYQBsACAAbgBpAHQAcgBvAGcAZQBuACAAZQB4AGMAcgBlAHQAaQBvAG4AIABmAG8AcgAgAGUAYQBjAGgAIABwAG8AdQBsAHQAcgB5ACAAYwBsAGEAcwBzACAAYQBuAGQAIABzAHUAYgBjAGwAYQBzAHMAXABuAEEARQBfAGoAawBcAG4AawBnACAATgBcAG4AQQBFAF8AewBqAGsAfQA9AE4AXwB7AGoAawB9AFwAXAB0AGkAbQBlAHMAIABOAEUAXwB7AGoAawB9AFwAXAB0AGkAbQBlAHMAIABEAF8AewBqAGsAfQBcAG4ATgBfAGoAawAgAD0AIABuAHUAbQBiAGUAcgAgAG8AZgAgAHAAbwB1AGwAdAByAHkAIABpAG4AIABlAGEAYwBoACAAYwBsAGEAcwBzACAAYQBuAGQAIABzAHUAYgBjAGwAYQBzAHMAIAA6ACAAYgBpAHIAZABcAG4ATgBFAF8AagBrACAAPQAgAG4AaQB0AHIAbwBnAGUAbgAgAGUAeABjAHIAZQB0AGkAbwBuACAAOgAgAGsAZwAgAE4ALwBiAGkAcgBkAC8AZABhAHkAXABuAEQAXwBqAGsAIAA9ACAAZAB1AHIAYQB0AGkAbwBuACAAbwBmACAAcwB0AGEAeQAgAG8AZgAgAGUAYQBjAGgAIABjAGwAYQBzAHMAIABhAG4AZAAgAHMAdQBiAGMAbABhAHMAcwAgADoAIABkAGEAeQBzAFwAbgAtAC0ALQAtAC0ALQAtAC0ALQAtAC0ALQAtAC0ALQAtAC0ALQAtAC0ALQAtAC0ALQAtAC0ALQAtAC0ALQAtAC0ALQAtAC0ALQAtAC0AXABuACoALwBcAG4AXABuAFYARQBFAFIARwBfADQAXwA2AF8AMQBfADMAXwBfADMAXwBBAG4AbgB1AGEAbABOAGkAdAByAG8AZwBlAG4ARQB4AGMAcgBlAHQAaQBvAG4AXABuACAAIAA9AEwAQQBNAEIARABBACgAXABuACAAIAAgACAATgBfAGoAawAsACAATgBFAF8AagBrACwAIABEAF8AagBrACwAXABuACAAIAAgACAATgBfAGoAawAgACoAIABOAEUAXwBqAGsAIAAqACAARABfAGoAawBcAG4AIAAgACkAOwBcAG4AXABuAFYARQBFAFIARwBfADQAXwA2AF8AMQBfADMAXwBfADMAXwBBAG4AbgB1AGEAbABOAGkAdAByAG8AZwBlAG4ARQB4AGMAcgBlAHQAaQBvAG4AXwBUAGkAdABsAGUAXABuACAAIAA9AEwAQQBNAEIARABBACgAXAAiAEEAbgBuAHUAYQBsACAAbgBpAHQAcgBvAGcAZQBuACAAZQB4AGMAcgBlAHQAaQBvAG4AIABmAG8AcgAgAGUAYQBjAGgAIABwAG8AdQBsAHQAcgB5ACAAYwBsAGEAcwBzACAAYQBuAGQAIABzAHUAYgBjAGwAYQBzAHMAXAAiACkAOwBcAG4AXABuAFYARQBFAFIARwBfADQAXwA2AF8AMQBfADMAXwBfADMAXwBBAG4AbgB1AGEAbABOAGkAdAByAG8AZwBlAG4ARQB4AGMAcgBlAHQAaQBvAG4AXwBWAGEAcgBpAGEAYgBsAGUAXABuACAAIAA9AEwAQQBNAEIARABBACgAXAAiAEEARQBfAGoAawBcACIAKQA7AFwAbgBcAG4AVgBFAEUAUgBHAF8ANABfADYAXwAxAF8AMwBfAF8AMwBfAEEAbgBuAHUAYQBsAE4AaQB0AHIAbwBnAGUAbgBFAHgAYwByAGUAdABpAG8AbgBfAFUAbgBpAHQAXABuACAAIAA9AEwAQQBNAEIARABBACgAXAAiAGsAZwAgAE4AXAAiACkAOwBcAG4AXABuAFYARQBFAFIARwBfADQAXwA2AF8AMQBfADMAXwBfADMAXwBBAG4AbgB1AGEAbABOAGkAdAByAG8AZwBlAG4ARQB4AGMAcgBlAHQAaQBvAG4AXwBTAG8AdQByAGMAZQBcAG4AIAAgAD0ATABBAE0AQgBEAEEAKABcACIAVgBFAEUAUgBHACAAMgAwADIANgA6ACAANAAuADYALgAxAC4AMwAsACAARQBxAHUAYQB0AGkAbwBuACAAKAAzACkAXAAiACkAOwBcAG4AXABuAFYARQBFAFIARwBfADQAXwA2AF8AMQBfADMAXwBfADMAXwBBAG4AbgB1AGEAbABOAGkAdAByAG8AZwBlAG4ARQB4AGMAcgBlAHQAaQBvAG4AXwBOAEkAUgBSAGUAZgBlAHIAZQBuAGMAZQBcAG4AIAAgAD0ATABBAE0AQgBEAEEAKABcACIAXAAiACkAOwBcAG4AXABuAFYARQBFAFIARwBfADQAXwA2AF8AMQBfADMAXwBfADMAXwBBAG4AbgB1AGEAbABOAGkAdAByAG8AZwBlAG4ARQB4AGMAcgBlAHQAaQBvAG4AXwBMAGEAdABlAHgARQBxAHUAYQB0AGkAbwBuAFwAbgAgACAAPQBMAEEATQBCAEQAQQAoAFwAIgBBAEUAXwB7AGoAawB9AD0ATgBfAHsAagBrAH0AXABcAHQAaQBtAGUAcwAgAE4ARQBfAHsAagBrAH0AXABcAHQAaQBtAGUAcwAgAEQAXwB7AGoAawB9AFwAIgApADsAXABuAFwAbgBWAEUARQBSAEcAXwA0AF8ANg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GsAXAAiACwAXAAiAG4AdQBtAGIAZQByACAAbwBmACAAcABvAHUAbAB0AHIAeQAgAGkAbgAgAGUAYQBjAGgAIABjAGwAYQBzAHMAIABhAG4AZAAgAHMAdQBiAGMAbABhAHMAcwBcACIALAAgAFwAIgBiAGkAcgBkAFwAIgAsACAAXAAiAEkAbgBwAHUAdABcACIAOwBcAG4AIAAgACAAIAAgACAAIAAgACAAIABcACIATgBFAF8AagBrAFwAIgAsAFwAIgBuAGkAdAByAG8AZwBlAG4AIABlAHgAYwByAGUAdABpAG8AbgBcACIALAAgAFwAIgBrAGcAIABOAC8AYgBpAHIAZAAvAGQAYQB5AFwAIgAsACAAXAAiAEMAYQBsAGMAdQBsAGEAdABlAGQAIABmAHIAbwBtACAANAAuADYALgAxAC4AMwAgACgANAApAFwAIgA7AFwAbgAgACAAIAAgACAAIAAgACAAIAAgAFwAIgBEAF8AagBrAFwAIgAsAFwAIgBkAHUAcgBhAHQAaQBvAG4AIABvAGYAIABzAHQAYQB5ACAAbwBmACAAZQBhAGMAaAAgAGMAbABhAHMAcwAgAGEAbgBkACAAcwB1AGI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0ACwAXABuACAAIAAgACAAIAAgAEwAQQBNAEIARABBACgAcgAsAGMALABcAG4AIAAgACAAIAAgACAAIAAgAEkATgBEAEUAWAAoAHsAXABuACAAIAAgACAAIAAgACAAIAAgACAAXAAiAE4ASQBfAGoAawBcACIALABcACIAbgBpAHQAcgBvAGcAZQBuACAAaQBuAHQAYQBrAGUAXAAiACwAXAAiAGsAZwAgAE4ALwBiAGkAcgBkAC8AZABhAHkAXAAiACwAIABcACIAQwBhAGwAYwB1AGwAYQB0AGUAZAAgAGYAcgBvAG0AIAA0AC4ANgAuADEALgAzACAAKAA1ACkAXAAiADsAXABuACAAIAAgACAAIAAgACAAIAAgACAAXAAiAE4AUgBfAGoAawBcACIALABcACIAbgBpAHQAcgBvAGcAZQBuACAAcgBlAHQAZQBuAHQAaQBvAG4AIABlAHgAcAByAGUAcwBzAGUAZAAgAGEAcwAgAGEAIABmAHIAYQBjAHQAaQBvAG4AIABvAGY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UAXwBOAGkAdAByAG8AZwBlAG4ASQBuAHQAYQBrAGUAXABuAE4AaQB0AHIAbwBnAGUAbgAgAGkAbgB0AGEAawBlACAAbwBmACAAcABvAHUAbAB0AHIAeQBcAG4ATgBJAF8AagBrAFwAbgBrAGcAIABOAC8AYgBpAHIAZAAvAGQAYQB5AFwAbgBOAEkAXwB7AGoAawB9AD0ASQBfAHsAagBrAH0AXABcAHQAaQBtAGUAcwAgAEMAUABfAHsAagBrAH0AXABcAGQAaQB2ACAANgAuADIANQBcAG4ASQBfAGoAawAgAD0AIABkAHIAeQAgAG0AYQB0AHQAZQByACAAaQBuAHQAYQBrAGUAIABmAG8AcgAgAGUAYQBjAGgAIABjAGwAYQBzAHMAIABhAG4AZAAgAHMAdQBiAGMAbABhAHMAcwAgADoAIABrAGcAIABEAE0ALwBiAGkAcgBkAC8AZABhAHkAXABuAEMAUABfAGoAaw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2AF8AMQBfADMAXwBfADUAXwBOAGkAdAByAG8AZwBlAG4ASQBuAHQAYQBrAGUAXABuACAAIAA9AEwAQQBNAEIARABBACgAXABuACAAIAAgACAASQBfAGoAawAsACAAQwBQAF8AagBrACwAXABuACAAIAAgACAASQBfAGoAawAgACoAIABDAFAAXwBqAGsAIAAvACAANgAuADIANQBcAG4AIAAgACkAOwBcAG4AXABuAFYARQBFAFIARwBfADQAXwA2AF8AMQBfADMAXwBfADUAXwBOAGkAdAByAG8AZwBlAG4ASQBuAHQAYQBrAGUAXwBUAGkAdABsAGUAXABuACAAIAA9AEwAQQBNAEIARABBACgAXAAiAE4AaQB0AHIAbwBnAGUAbgAgAGkAbgB0AGEAawBlACAAbwBmACAAcABvAHUAbAB0AHIAeQBcACIAKQA7AFwAbgBcAG4AVgBFAEUAUgBHAF8ANABfADYAXwAxAF8AMwBfAF8ANQBfAE4AaQB0AHIAbwBnAGUAbgBJAG4AdABhAGsAZQBfAFYAYQByAGkAYQBiAGwAZQBcAG4AIAAgAD0ATABBAE0AQgBEAEEAKABcACIATgBJAF8AagBrAFwAIgApADsAXABuAFwAbgBWAEUARQBSAEcAXwA0AF8ANgBfADEAXwAzAF8AXwA1AF8ATgBpAHQAcgBvAGcAZQBuAEkAbgB0AGEAawBlAF8AVQBuAGkAdABcAG4AIAAgAD0ATABBAE0AQgBEAEEAKABcACIAawBnACAATgAvAGIAaQByAGQALwBkAGEAeQBcACIAKQA7AFwAbgBcAG4AVgBFAEUAUgBHAF8ANABfADYAXwAxAF8AMwBfAF8ANQBfAE4AaQB0AHIAbwBnAGUAbgBJAG4AdABhAGsAZQBfAFMAbwB1AHIAYwBlAFwAbgAgACAAPQBMAEEATQBCAEQAQQAoAFwAIgBWAEUARQBSAEcAIAAyADAAMgA2ADoAIAA0AC4ANgAuADEALgAzACwAIABFAHEAdQBhAHQAaQBvAG4AIAAoADUAKQBcACIAKQA7AFwAbgBcAG4AVgBFAEUAUgBHAF8ANABfADYAXwAxAF8AMwBfAF8ANQBfAE4AaQB0AHIAbwBnAGUAbgBJAG4AdABhAGsAZQBfAE4ASQBSAFIAZQBmAGUAcgBlAG4AYwBlAFwAbgAgACAAPQBMAEEATQBCAEQAQQAoAFwAIgBcACIAKQA7AFwAbgBcAG4AVgBFAEUAUgBHAF8ANABfADYAXwAxAF8AMwBfAF8ANQBfAE4AaQB0AHIAbwBnAGUAbgBJAG4AdABhAGsAZQBfAEwAYQB0AGUAeABFAHEAdQBhAHQAaQBvAG4AXABuACAAIAA9AEwAQQBNAEIARABBACgAXAAiAE4ASQBfAHsAagBrAH0APQBJAF8AewBqAGsAfQBcAFwAdABpAG0AZQBzACAAQwBQAF8AewBqAGsAfQBcAFwAZABpAHYAIAA2AC4AMgA1AFwAIgApADsAXABuAFwAbgBWAEUARQBSAEcAXwA0AF8ANg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MAUABfAGoAaw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2AF8AUwB0AGEAZwBlADIATgBpAHQAcgBvAGcAZQBuAEkAbgBNAE0AUwBcAG4ATgBpAHQAcgBvAGcAZQBuACAAaQBuACAAdAByAGUAYQB0AG0AZQBuAHQAIABzAHQAYQBnAGUAIAAyACAATQBNAFMAXABuAE0ATgBfAGoAawBtAFQAMgBcAG4AawBnACAATgBcAG4ATQBOAF8AewBqAGsAbQAsAFQAPQAyAH0APQBOAFQAXwB7AGoAawBtACwAVAA9ADIAfQBcAFwAdABpAG0AZQBzACAATQBNAFMAXwB7AG0ALABUAD0AMgB9AFwAbgBOAFQAXwBqAGsAbQBUADIAIAA9ACAAbgBpAHQAcgBvAGcAZQBuACAAdAByAGEAbgBzAGYAZQByAHIAZQBkACAAdABvACAAcwBlAGMAbwBuAGQAYQByAHkAIAB0AHIAZQBhAHQAbQBlAG4AdAAgAE0ATQBTACAAOgAgAGsAZwAgAE4AXABuAE0ATQBTAF8AbQBUADIAIAA9ACAAZgByAGEAYwB0AGkAbwBuACAAbwBmACAAbQBhAG4AdQByAGUAIABpAG4AIABlAGEAYwBoACAAcwBlAGMAbwBuAGQAYQByAHkAIABzAHkAcwB0AGUAbQAgADoAIABmAHIAYQBjAHQAaQBvAG4AXABuAE4AbwB0AGUAIAA9ACAAZABpAHIAZQBjAHQAIABhAHAAcABsAGkAYwBhAHQAaQBvAG4AIABhAHQAIABtAD0AMQAzACwAdAA9ADIAIABpAHMAIABtAG8AdgBlAGQAIAB0AG8AIABtAGEAbgB1AHIAZQAgAGEAcABwAGwAaQBlAGQAIAB0AG8AIABzAG8AaQBsAHMAIABhAG4AZAAgAGUAeABjAGwAdQBkAGUAZAAgAGYAcgBvAG0AIAB0AGgAaQBzACAAZQBxAHUAYQB0AGkAbwBuAFwAbgAtAC0ALQAtAC0ALQAtAC0ALQAtAC0ALQAtAC0ALQAtAC0ALQAtAC0ALQAtAC0ALQAtAC0ALQAtAC0ALQAtAC0ALQAtAC0ALQAtAC0AXABuACoALwBcAG4AXABuAFYARQBFAFIARwBfADQAXwA2AF8AMQBfADMAXwBfADYAXwBTAHQAYQBnAGUAMgBOAGkAdAByAG8AZwBlAG4ASQBuAE0ATQBTAFwAbgAgACAAPQBMAEEATQBCAEQAQQAoAFwAbgAgACAAIAAgAE4AVABfAGoAawBtAFQAMgAsACAATQBNAFMAXwBtAFQAMgAsAFwAbgAgACAAIAAgAE4AVABfAGoAawBtAFQAMgAgACoAIABNAE0AUwBfAG0AVAAyAFwAbgAgACAAKQA7AFwAbgBcAG4AVgBFAEUAUgBHAF8ANABfADYAXwAxAF8AMwBfAF8ANgBfAFMAdABhAGcAZQAyAE4AaQB0AHIAbwBnAGUAbgBJAG4ATQBNAFMAXwBUAGkAdABsAGUAXABuACAAIAA9AEwAQQBNAEIARABBACgAXAAiAE4AaQB0AHIAbwBnAGUAbgAgAGkAbgAgAHQAcgBlAGEAdABtAGUAbgB0ACAAcwB0AGEAZwBlACAAMgAgAE0ATQBTAFwAIgApADsAXABuAFwAbgBWAEUARQBSAEcAXwA0AF8ANgBfADEAXwAzAF8AXwA2AF8AUwB0AGEAZwBlADIATgBpAHQAcgBvAGcAZQBuAEkAbgBNAE0AUwBfAFYAYQByAGkAYQBiAGwAZQBcAG4AIAAgAD0ATABBAE0AQgBEAEEAKABcACIATQBOAF8AagBrAG0AVAAyAFwAIgApADsAXABuAFwAbgBWAEUARQBSAEcAXwA0AF8ANgBfADEAXwAzAF8AXwA2AF8AUwB0AGEAZwBlADIATgBpAHQAcgBvAGcAZQBuAEkAbgBNAE0AUwBfAFUAbgBpAHQAXABuACAAIAA9AEwAQQBNAEIARABBACgAXAAiAGsAZwAgAE4AXAAiACkAOwBcAG4AXABuAFYARQBFAFIARwBfADQAXwA2AF8AMQBfADMAXwBfADYAXwBTAHQAYQBnAGUAMgBOAGkAdAByAG8AZwBlAG4ASQBuAE0ATQBTAF8AUwBvAHUAcgBjAGUAXABuACAAIAA9AEwAQQBNAEIARABBACgAXAAiAFYARQBFAFIARwAgADIAMAAyADYAOgAgADQALgA2AC4AMQAuADMALAAgAEUAcQB1AGEAdABpAG8AbgAgACgANgApAFwAIgApADsAXABuAFwAbgBWAEUARQBSAEcAXwA0AF8ANgBfADEAXwAzAF8AXwA2AF8AUwB0AGEAZwBlADIATgBpAHQAcgBvAGcAZQBuAEkAbgBNAE0AUwBfAE4ASQBSAFIAZQBmAGUAcgBlAG4AYwBlAFwAbgAgACAAPQBMAEEATQBCAEQAQQAoAFwAIgBcACIAKQA7AFwAbgBcAG4AVgBFAEUAUgBHAF8ANABfADYAXwAxAF8AMwBfAF8ANgBfAFMAdABhAGcAZQAyAE4AaQB0AHIAbwBnAGUAbgBJAG4ATQBNAFMAXwBMAGEAdABlAHgARQBxAHUAYQB0AGkAbwBuAFwAbgAgACAAPQBMAEEATQBCAEQAQQAoAFwAIgBNAE4AXwB7AGoAawBtACwAVAA9ADIAfQA9AE4AVABfAHsAagBrAG0ALABUAD0AMgB9AFwAXAB0AGkAbQBlAHMAIABNAE0AUwBfAHsAbQAsAFQAPQAyAH0AXAAiACkAOwBcAG4AXABuAFYARQBFAFIARwBfADQAXwA2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awBtAFQAMgBcACIALABcACIAbgBpAHQAcgBvAGcAZQBuACAAdAByAGEAbgBzAGYAZQByAHIAZQBkACAAdABvACAAcwBlAGMAbwBuAGQAYQByAHkAIAB0AHIAZQBhAHQAbQBlAG4AdAAgAE0ATQBTAFwAIgAsACAAXAAiAGsAZwAgAE4AXAAiACwAIABcACIAQwBhAGwAYwB1AGwAYQB0AGUAZAAgAGYAcgBvAG0AIAA0AC4ANgAuADEALgAzACAAKAA3ACkAXAAiADsAXABuACAAIAAgACAAIAAgACAAIAAgACAAXAAiAE0ATQBTAF8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rAG0AVAAxAFwAIgAsAFwAIgBuAGkAdAByAG8AZwBlAG4AIABpAG4AIABNAE0AUwAgAHQAcgBlAGEAdABtAGUAbgB0ACAAcwB0AGEAZwBlACAAMQBcACIALAAgAFwAIgBrAGcAIABOAFwAIgAsACAAXAAiAEMAYQBsAGMAdQBsAGEAdABlAGQAIABmAHIAbwBtACAANAAuADYALgAxAC4AMwAgACgANgApAFwAIgA7AFwAbgAgACAAIAAgACAAIAAgACAAIAAgAFwAIgBGAHIAYQBjAEcAQQBTAE0AXwBtAFQAMQBcACIALABcACIAZgByAGEAYwB0AGkAbwBuACAAbwBmACAATgAgAHYAbwBsAGEAdABpAGwAaQBzAGUAZAAgAGYAcgBvAG0AIABNAE0AUwAgAHQAcgBlAGEAdABtAGUAbgB0ACAAYQB0ACAAcwB0AGEAZwBlACAAMQBcACIALAAgAFwAIgBmAHIAYQBjAHQAaQBvAG4AXAAiACwAIABcACIAQwBvAG4AcwB0AGEAbgB0AFwAIgA7AFwAbgAgACAAIAAgACAAIAAgACAAIAAgAFwAIgBFAEYAXwBtAFQAMQBcACIALABcACIAbgBpAHQAcgBvAHUAcwAgAG8AeABpAGQAZQAgAGUAbQBpAHMAcwBpAG8AbgAgAGYAYQBjAHQAbwByACAAZgBvAHIAIABNAE0AUwAgAHQAcgBlAGEAdABtAGUAbgB0ACAAYQB0ACAAcwB0AGEAZwBlACAAMQBcACIALAAgAFwAIgBrAGcAIABOADIATwAtAE4ALwBrAGcAIABOAFwAIgAsACAAXAAiAEMAbwBuAHMAdABhAG4AdABcACIAXABuACAAIAAgACAAIAAgACAAIAB9ACwAIAByACwAIABjACkAXABuACAAIAAgACAAIAAgACkAXABuACAAIAAgACAAKQBcAG4AIAAgACkAOwBcAG4AXABuACIAfQAsAHsAIgBwAGEAdABoACIAOgAiAC8AcAByAG8AagBlAGMAdABzAC8ATQBNAFMAXwBQAG8AdQBsAHQ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UAIABNAGUAdABoAG8AZAAgADEAIAAtACAATQBhAG4AdQByAGUAIABBAHQAbQBvAHMAcABoAGUAcgBpAGMAIABEAGUAcABvAHMAaQB0AGkAbwBu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UAXwBfADEAXwBUAG8AdABhAGwAQQBuAG4AdQBhAGwAQQB0AG0AbwBzAHAAaABlAHIAaQBjAEQAZQBwAG8AcwBpAHQAaQBvAG4ARQBtAGkAcwBzAGkAbwBuAHMARgByAG8AbQBNAE0AU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UAXwBfADEAXwBUAG8AdABhAGwAQQBuAG4AdQBhAGwAQQB0AG0AbwBzAHAAaABlAHIAaQBjAEQAZQBwAG8AcwBpAHQAaQBvAG4ARQBtAGkAcwBzAGkAbwBuAHMARgByAG8AbQBNAE0AUwBcAG4AIAAgAD0ATABBAE0AQgBEAEEAKABcAG4AIAAgACAAIABNAE0AUwBfAEEAVABNAE8AUwAsACAARQBGAF8ATgAyAE8ALAAgAEMAXwBOADIATwAsAFwAbgAgACAAIAAgACgATQBNAFMAXwBBAFQATQBPAFMAIAAqACAARQBGAF8ATgAyAE8AIAAqACAAQwBfAE4AMgBPACkAIAAqACAAMQAwACAAXgAgAC0AMwBcAG4AIAAgACkAOwBcAG4AXABuAFYARQBFAFIARwBfADQAXwA2AF8AMQBfADUAXwBfADEAXwBUAG8AdABhAGwAQQBuAG4AdQBhAGwAQQB0AG0AbwBzAHAAaABlAHIAaQBjAEQAZQBwAG8AcwBpAHQAaQBvAG4ARQBtAGkAcwBzAGkAbwBuAHMARgByAG8AbQBNAE0AUwBfAFQAaQB0AGwAZQBcAG4AIAAgAD0ATABBAE0AQgBEAEEAKABcACIAVABvAHQAYQBsACAAYQBuAG4AdQBhAGwAIABhAHQAbQBvAHMAcABoAGUAcgBpAGMAIABkAGUAcABvAHMAaQB0AGkAbwBuACAAZQBtAGkAcwBzAGkAbwBuAHMAIABmAHIAbwBtACAAbQBhAG4AdQByAGUAIABtAGEAbgBhAGcAZQBtAGUAbgB0AFwAIgApADsAXABuAFwAbgBWAEUARQBSAEcAXwA0AF8ANgBfADEAXwA1AF8AXwAxAF8AVABvAHQAYQBsAEEAbgBuAHUAYQBsAEEAdABtAG8AcwBwAGgAZQByAGkAYwBEAGUAcABvAHMAaQB0AGkAbwBuAEUAbQBpAHMAcwBpAG8AbgBzAEYAcgBvAG0ATQBNAFMAXwBWAGEAcgBpAGEAYgBsAGUAXABuACAAIAA9AEwAQQBNAEIARABBACgAXAAiAEUAXwBOADIATwBhAGQAXAAiACkAOwBcAG4AXABuAFYARQBFAFIARwBfADQAXwA2AF8AMQBfADUAXwBfADEAXwBUAG8AdABhAGwAQQBuAG4AdQBhAGwAQQB0AG0AbwBzAHAAaABlAHIAaQBjAEQAZQBwAG8AcwBpAHQAaQBvAG4ARQBtAGkAcwBzAGkAbwBuAHMARgByAG8AbQBNAE0AUwBfAFUAbgBpAHQAXABuACAAIAA9AEwAQQBNAEIARABBACgAXAAiAHQAIABOADIATwBcACIAKQA7AFwAbgBcAG4AVgBFAEUAUgBHAF8ANABfADYAXwAxAF8ANQBfAF8AMQBfAFQAbwB0AGEAbABBAG4AbgB1AGEAbABBAHQAbQBvAHMAcABoAGUAcgBpAGMARABlAHAAbwBzAGkAdABpAG8AbgBFAG0AaQBzAHMAaQBvAG4AcwBGAHIAbwBtAE0ATQBTAF8AUwBvAHUAcgBjAGUAXABuACAAIAA9AEwAQQBNAEIARABBACgAXAAiAFYARQBFAFIARwAgADIAMAAyADYAOgAgADQALgA2AC4AMQAuADUALAAgAEUAcQB1AGEAdABpAG8AbgAgACgAMQApAFwAIgApADsAXABuAFwAbgBWAEUARQBSAEcAXwA0AF8ANgBfADEAXwA1AF8AXwAxAF8AVABvAHQAYQBsAEEAbgBuAHUAYQBsAEEAdABtAG8AcwBwAGgAZQByAGkAYwBEAGUAcABvAHMAaQB0AGkAbwBuAEUAbQBpAHMAcwBpAG8AbgBzAEYAcgBvAG0ATQBNAFMAXwBOAEkAUgBSAGUAZgBlAHIAZQBuAGMAZQBcAG4AIAAgAD0ATABBAE0AQgBEAEEAKABcACIAXAAiACkAOwBcAG4AXABuAFYARQBFAFIARwBfADQAXwA2AF8AMQBfADUAXwBfADEAXwBUAG8AdABhAGwAQQBuAG4AdQBhAGwAQQB0AG0AbwBzAHAAaABlAHIAaQBjAEQAZQBwAG8AcwBpAHQAaQBvAG4ARQBtAGkAcwBzAGkAbwBuAHMARgByAG8AbQBNAE0AUwBfAEwAYQB0AGUAeABFAHEAdQBhAHQAaQBvAG4AXABuACAAIAA9AEwAQQBNAEIARABBACgAXAAiAEUAXwB7AE4AMgBPACwAYQBkAH0APQAoAE0ATQBTAF8AewBBAFQATQBPAFMAfQBcAFwAdABpAG0AZQBzACAARQBGAF8AewBOADIATwB9AFwAXAB0AGkAbQBlAHMAIABDAF8AewBOADIATwB9ACkAXABcAHQAaQBtAGUAcwAxADAAXgB7AC0AMwB9AFwAIgApADsAXABuAFwAbgBWAEUARQBSAEcAXwA0AF8ANgBfADEAXwA1AF8AXwAxAF8AVABvAHQAYQBs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Ng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1AF8AXwAyAF8AVABvAHQAYQBsAE4AaQB0AHIAbwBnAGUAbgBWAG8AbABhAHQAaQBsAGkAcwBlAGQARgByAG8AbQBNAE0AUwBcAG4AVABvAHQAYQBsACAAbgBpAHQAcgBvAGcAZQBuACAAdgBvAGwAYQB0AGkAbABpAHMAZQBkACAAZgByAG8AbQAgAG0AYQBuAHUAcgBlACAAbQBhAG4AYQBnAGUAbQBlAG4AdAAgAHMAeQBzAHQAZQBtAHMAXABuAE0ATQBTAF8AQQBUAE0ATwBTAFwAbgBrAGcAIABOAFwAbgBNAE0AUwBfAHsAQQBUAE0ATwBTAH0APQBcAFwAcwB1AG0AXwB7AGoAfQBcAFwAcwB1AG0AXwB7AGsAfQBcAFwAcwB1AG0AXwB7AG0AfQBcAFwAcwB1AG0AXwB7AFQAfQAoAE0ATgBfAHsAagBrAG0AVAB9AFwAXAB0AGkAbQBlAHMAIABGAHIAYQBjAEcAQQBTAE0AXwB7AG0AVAB9ACkAXABuAE0ATgBfAGoAawBtAFQAIAA9ACAAbgBpAHQAcgBvAGcAZQBuACAAaQBuACAAZQBhAGMAaAAgAHQAcgBlAGEAdABtAGUAbgB0ACAAcwB0AGEAZwBlACAATQBNAFMAIAAoAGUAeABjAGwAdQBkAGkAbgBnACAATQBOAF8AagBr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NgBfADEAXwA1AF8AXwAyAF8AVABvAHQAYQBsAE4AaQB0AHIAbwBnAGUAbgBWAG8AbABhAHQAaQBsAGkAcwBlAGQARgByAG8AbQBNAE0AUwBcAG4AIAAgAD0ATABBAE0AQgBEAEEAKABcAG4AIAAgACAAIABNAE4AXwBqAGsAbQBUACwAIABGAHIAYQBjAEcAQQBTAE0AXwBtAFQALABcAG4AIAAgACAAIABNAE4AXwBqAGsAbQBUACAAKgAgAEYAcgBhAGMARwBBAFMATQBfAG0AVABcAG4AIAAgACkAOwBcAG4AXABuAFYARQBFAFIARwBfADQAXwA2AF8AMQBfADUAXwBfADIAXwBUAG8AdABhAGwATgBpAHQAcgBvAGcAZQBuAFYAbwBsAGEAdABpAGwAaQBzAGUAZABGAHIAbwBtAE0ATQBTAF8AVABpAHQAbABlAFwAbgAgACAAPQBMAEEATQBCAEQAQQAoAFwAIgBUAG8AdABhAGwAIABuAGkAdAByAG8AZwBlAG4AIAB2AG8AbABhAHQAaQBsAGkAcwBlAGQAIABmAHIAbwBtACAAbQBhAG4AdQByAGUAIABtAGEAbgBhAGcAZQBtAGUAbgB0ACAAcwB5AHMAdABlAG0AcwBcACIAKQA7AFwAbgBcAG4AVgBFAEUAUgBHAF8ANABfADYAXwAxAF8ANQBfAF8AMgBfAFQAbwB0AGEAbABOAGkAdAByAG8AZwBlAG4AVgBvAGwAYQB0AGkAbABpAHMAZQBkAEYAcgBvAG0ATQBNAFMAXwBWAGEAcgBpAGEAYgBsAGUAXABuACAAIAA9AEwAQQBNAEIARABBACgAXAAiAE0ATQBTAF8AQQBUAE0ATwBTAFwAIgApADsAXABuAFwAbgBWAEUARQBSAEcAXwA0AF8ANgBfADEAXwA1AF8AXwAyAF8AVABvAHQAYQBsAE4AaQB0AHIAbwBnAGUAbgBWAG8AbABhAHQAaQBsAGkAcwBlAGQARgByAG8AbQBNAE0AUwBfAFUAbgBpAHQAXABuACAAIAA9AEwAQQBNAEIARABBACgAXAAiAGsAZwAgAE4AXAAiACkAOwBcAG4AXABuAFYARQBFAFIARwBfADQAXwA2AF8AMQBfADUAXwBfADIAXwBUAG8AdABhAGwATgBpAHQAcgBvAGcAZQBuAFYAbwBsAGEAdABpAGwAaQBzAGUAZABGAHIAbwBtAE0ATQBTAF8AUwBvAHUAcgBjAGUAXABuACAAIAA9AEwAQQBNAEIARABBACgAXAAiAFYARQBFAFIARwAgADIAMAAyADYAOgAgADQALgA2AC4AMQAuADUALAAgAEUAcQB1AGEAdABpAG8AbgAgACgAMgApAFwAIgApADsAXABuAFwAbgBWAEUARQBSAEcAXwA0AF8ANgBfADEAXwA1AF8AXwAyAF8AVABvAHQAYQBsAE4AaQB0AHIAbwBnAGUAbgBWAG8AbABhAHQAaQBsAGkAcwBlAGQARgByAG8AbQBNAE0AUwBfAE4ASQBSAFIAZQBmAGUAcgBlAG4AYwBlAFwAbgAgACAAPQBMAEEATQBCAEQAQQAoAFwAIgBcACIAKQA7AFwAbgBcAG4AVgBFAEUAUgBHAF8ANABfADYAXwAxAF8ANQBfAF8AMgBfAFQAbwB0AGEAbABOAGkAdAByAG8AZwBlAG4AVgBvAGwAYQB0AGkAbABpAHMAZQBkAEYAcgBvAG0ATQBNAFMAXwBMAGEAdABlAHgARQBxAHUAYQB0AGkAbwBuAFwAbgAgACAAPQBMAEEATQBCAEQAQQAoAFwAIgBNAE0AUwBfAHsAQQBUAE0ATwBTAH0APQBcAFwAcwB1AG0AXwB7AGoAfQBcAFwAcwB1AG0AXwB7AGsAfQBcAFwAcwB1AG0AXwB7AG0AfQBcAFwAcwB1AG0AXwB7AFQAfQAoAE0ATgBfAHsAagBrAG0AVAB9AFwAXAB0AGkAbQBlAHMAIABGAHIAYQBjAEcAQQBTAE0AXwB7AG0AVAB9ACkAXAAiACkAOwBcAG4AXABuAFYARQBFAFIARwBfADQAXwA2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awBtAFQAXAAiACwAXAAiAG4AaQB0AHIAbwBnAGUAbgAgAGkAbgAgAGUAYQBjAGgAIAB0AHIAZQBhAHQAbQBlAG4AdAAgAHMAdABhAGcAZQAgAE0ATQBTACAAKABlAHgAYwBsAHUAZABpAG4AZwAgAE0ATgBfAGoAawBtADEAMwBUADIAKQBcACIALAAgAFwAIgBrAGcAIABOAFwAIgAsACAAXAAiAEMAYQBsAGMAdQBsAGEAdABlAGQAIABmAHIAbwBtACAANAAuADYALgAxAC4AMwAgACgAMgApACgANg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cAIABNAGUAdABoAG8AZAAgADEAIAAtACAATQBhAG4AdQByAGUAIABMAGUAYQBjAGgAaQBuAGcAIABh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awBtAD0ANAB9AFwAXAB0AGkAbQBlAHMAIABFAEYAXwB7AGwAZQBhAGMAaAB9AFwAXAB0AGkAbQBlAHMAIABDAF8AewBOADIATwB9AFwAXAB0AGkAbQBlAHMAMQAwAF4AewAtADMAfQBcAG4ATQBOAEwAZQBhAGMAaABfAGoAawBtADQAIAA9ACAAbQBhAHMAcwAgAG8AZgAgAE4AIABsAG8AcwB0ACAAdABoAHIAbwB1AGcAaAAgAGwAZQBhAGMAaABpAG4AZwAgAGEAbgBkACAAcgB1AG4AbwBmAGYAIABmAHIAbwBtACAAZQBhAGMAaAAgAE0ATQBTACAAOgAgAGsAZwAgAE4AXABuAEUARgBfAGwAZQBhAGMAaAAgAD0AIABlAG0AaQBzAHMAaQBvAG4AIABmAGEAYwB0AG8AcgAgAGYAbwByACAAbABlAGEAYwBoAGkAbgBnACAAYQBuAGQAIAByAHUAbgBvAGYAZgAgADoAIABrAGcAIABOADIATwAtAE4ALwBrAGcAIABOAFwAbgBDAF8ATgAyAE8AIAA9ACAAZgBhAGMAdABvAHIAIAB0AG8AIABjAG8AbgB2AGUAcgB0ACAAZQBsAGUAbQBlAG4AdABhAGwAIABtAGEAcwBzACAAbwBmACAATgAyAE8AIAB0AG8AIABtAG8AbABlAGMAdQBsAGEAcgAgAG0AYQBzAHMAIAA6ACAAcgBhAHQAaQBvAFwAbgBWAEEAUgBJAEEAVABJAE8ATgAgAE8ARgAgAFMATwBVAFIAQwBFADoAIABGAG8AcgAgAE0AZQB0AGgAbwBkACAAMQAsACAAZQBtAGkAcwBzAGkAbwBuAHMAIABhAHIAZQAgAGUAcwB0AGkAbQBhAHQAZQBkACAAZgBvAHIAIABzAG8AbABpAGQAIABzAHQAbwByAGEAZwBlACAAKABtAD0ANAApAC4AXABuAC0ALQAtAC0ALQAtAC0ALQAtAC0ALQAtAC0ALQAtAC0ALQAtAC0ALQAtAC0ALQAtAC0ALQAtAC0ALQAtAC0ALQAtAC0ALQAtAC0ALQBcAG4AKgAvAFwAbgBcAG4AVgBFAEUAUgBHAF8ANABfADYAXwAxAF8ANwBfAF8AMQBfAEEAbgBuAHUAYQBsAEUAbQBpAHMAcwBpAG8AbgBzAEYAcgBvAG0ATABlAGEAYwBoAGkAbgBnAEEAbgBkAFIAdQBuAG8AZgBmAEYAcgBvAG0ATQBNAFMAXABuACAAIAA9AEwAQQBNAEIARABBACgAXABuACAAIAAgACAATQBOAEwAZQBhAGMAaABfAGoAawBtADQALAAgAEUARgBfAGwAZQBhAGMAaAAsACAAQwBfAE4AMgBPACwAXABuACAAIAAgACAAKABNAE4ATABlAGEAYwBoAF8AagBrAG0ANAAgACoAIABFAEYAXwBsAGUAYQBjAGgAIAAqACAAQwBfAE4AMgBPACkAIAAqACAAMQAwACAAXgAgAC0AMwBcAG4AIAAgACkAOwBcAG4AXABuAFYARQBFAFIARwBfADQAXwA2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gBfADEAXwA3AF8AXwAxAF8AQQBuAG4AdQBhAGwARQBtAGkAcwBzAGkAbwBuAHMARgByAG8AbQBMAGUAYQBjAGgAaQBuAGcAQQBuAGQAUgB1AG4AbwBmAGYARgByAG8AbQBNAE0AUwBfAFYAYQByAGkAYQBiAGwAZQBcAG4AIAAgAD0ATABBAE0AQgBEAEEAKABcACIARQBfAE4AMgBPAGwAZQBhAGMAaABcACIAKQA7AFwAbgBcAG4AVgBFAEUAUgBHAF8ANABfADYAXwAxAF8ANwBfAF8AMQBfAEEAbgBuAHUAYQBsAEUAbQBpAHMAcwBpAG8AbgBzAEYAcgBvAG0ATABlAGEAYwBoAGkAbgBnAEEAbgBkAFIAdQBuAG8AZgBmAEYAcgBvAG0ATQBNAFMAXwBVAG4AaQB0AFwAbgAgACAAPQBMAEEATQBCAEQAQQAoAFwAIgB0ACAATgAyAE8AXAAiACkAOwBcAG4AXABuAFYARQBFAFIARwBfADQAXwA2AF8AMQBfADcAXwBfADEAXwBBAG4AbgB1AGEAbABFAG0AaQBzAHMAaQBvAG4AcwBGAHIAbwBtAEwAZQBhAGMAaABpAG4AZwBBAG4AZABSAHUAbgBvAGYAZgBGAHIAbwBtAE0ATQBTAF8AUwBvAHUAcgBjAGUAXABuACAAIAA9AEwAQQBNAEIARABBACgAXAAiAFYARQBFAFIARwAgADIAMAAyADYAOgAgADQALgA2AC4AMQAuADcALAAgAEUAcQB1AGEAdABpAG8AbgAgACgAMQApAFwAIgApADsAXABuAFwAbgBWAEUARQBSAEcAXwA0AF8ANgBfADEAXwA3AF8AXwAxAF8AQQBuAG4AdQBhAGwARQBtAGkAcwBzAGkAbwBuAHMARgByAG8AbQBMAGUAYQBjAGgAaQBuAGcAQQBuAGQAUgB1AG4AbwBmAGYARgByAG8AbQBNAE0AUwBfAE4ASQBSAFIAZQBmAGUAcgBlAG4AYwBlAFwAbgAgACAAPQBMAEEATQBCAEQAQQAoAFwAIgBcACIAKQA7AFwAbgBcAG4AVgBFAEUAUgBHAF8ANABfADYAXwAxAF8ANwBfAF8AMQBfAEEAbgBuAHUAYQBsAEUAbQBpAHMAcwBpAG8AbgBzAEYAcgBvAG0ATABlAGEAYwBoAGkAbgBnAEEAbgBkAFIAdQBuAG8AZgBmAEYAcgBvAG0ATQBNAFMAXwBMAGEAdABlAHgARQBxAHUAYQB0AGkAbwBuAFwAbgAgACAAPQBMAEEATQBCAEQAQQAoAFwAIgBFAF8AewBOADIATwAsAGwAZQBhAGMAaAB9AD0ATQBOAEwAZQBhAGMAaABfAHsAagBrAG0APQA0AH0AXABcAHQAaQBtAGUAcwAgAEUARgBfAHsAbABlAGEAYwBoAH0AXABcAHQAaQBtAGUAcwAgAEMAXwB7AE4AMgBPAH0AXABcAHQAaQBtAGUAcwAxADAAXgB7AC0AMwB9AFwAIgApADsAXABuAFwAbgBWAEUARQBSAEcAXwA0AF8ANg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rAG0ANABcACIALABcACIAbQBhAHMAcwAgAG8AZgAgAE4AIABsAG8AcwB0ACAAdABoAHIAbwB1AGcAaAAgAGwAZQBhAGMAaABpAG4AZwAgAGEAbgBkACAAcgB1AG4AbwBmAGYAIABmAHIAbwBtACAAZQBhAGMAaAAgAE0ATQBTAFwAIgAsACAAXAAiAGsAZwAgAE4AXAAiACwAIABcACIAQwBhAGwAYwB1AGwAYQB0AGUAZAAgAGYAcgBvAG0AIAA0AC4ANgAuADEALgA3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3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sAbQA0AFwAbgBrAGcAIABOAFwAbgBNAE4ATABlAGEAYwBoAF8AewBqAGsAbQA9ADQAfQA9AE0ATgBfAHsAagBrAG0APQA0ACwAVAA9ADEAfQBcAFwAdABpAG0AZQBzACAARgByAGEAYwBXAEUAVABcAFwAdABpAG0AZQBzACAARgByAGEAYwBMAEUAQQBDAEgAXwB7AE0AUwB9AFwAbgBNAE4AXwBqAGsAbQA0AFQAMQAgAD0AIABuAGkAdAByAG8AZwBlAG4AIABpAG4AIABzAG8AbABpAGQAIABzAHQAbwByAGEAZwBlACAATQBNAFMAIAB0AHIAZQBhAHQAbQBlAG4AdAAgAHMAdABhAGcAZQAgADEAIAA6ACAAawBnACAATgBcAG4ARgByAGEAYwBXAEUAVAAgAD0AIABmAHIAYQBjAHQAaQBvAG4AIABvAGYAIABOACAAYQB2AGEAaQBsAGEAYgBsAGUAIABmAG8AcgAgAGwAZQBhAGMAaABpAG4AZwAgAGEAbgBkACAAcgB1AG4AbwBmAGYAIAA6ACAAZgByAGEAYwB0AGkAbwBuAFwAbgBGAHIAYQBjAEwARQBBAEMASABfAE0AUwAgAD0AIABmAHIAYQBjAHQAaQBvAG4AIABvAGYAIABOACAAbABvAHMAdAAgAHQAaAByAG8AdQBnAGgAIABsAGUAYQBjAGgAaQBuAGcAIABhAG4AZAAgAHIAdQBuAG8AZgBmACAAOgAgAGYAcgBhAGMAdABpAG8AbgBcAG4ALQAtAC0ALQAtAC0ALQAtAC0ALQAtAC0ALQAtAC0ALQAtAC0ALQAtAC0ALQAtAC0ALQAtAC0ALQAtAC0ALQAtAC0ALQAtAC0ALQAtAFwAbgAqAC8AXABuAFwAbgBWAEUARQBSAEcAXwA0AF8ANgBfADEAXwA3AF8AXwAyAF8ATQBhAHMAcwBPAGYATgBpAHQAcgBvAGcAZQBuAEwAbwBzAHQAVABvAEwAZQBhAGMAaABpAG4AZwBBAG4AZABSAHUAbgBvAGYAZgBGAHIAbwBtAFMAbwBsAGkAZABTAHQAbwByAGEAZwBlAFwAbgAgACAAPQBMAEEATQBCAEQAQQAoAFwAbgAgACAAIAAgAE0ATgBfAGoAawBtADQAVAAyACwAIABGAHIAYQBjAFcARQBUACwAIABGAHIAYQBjAEwARQBBAEMASABfAE0AUwAsAFwAbgAgACAAIAAgAE0ATgBfAGoAawBtADQAVAAyACAAKgAgAEYAcgBhAGMAVwBFAFQAIAAqACAARgByAGEAYwBMAEUAQQBDAEgAXwBNAFMAXABuACAAIAApADsAXABuAFwAbgBWAEUARQBSAEcAXwA0AF8ANgBfADEAXwA3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2AF8AMQBfADcAXwBfADIAXwBNAGEAcwBzAE8AZgBOAGkAdAByAG8AZwBlAG4ATABvAHMAdABUAG8ATABlAGEAYwBoAGkAbgBnAEEAbgBkAFIAdQBuAG8AZgBmAEYAcgBvAG0AUwBvAGwAaQBkAFMAdABvAHIAYQBnAGUAXwBWAGEAcgBpAGEAYgBsAGUAXABuACAAIAA9AEwAQQBNAEIARABBACgAXAAiAE0ATgBMAGUAYQBjAGgAXwBqAGsAbQA0AFwAIgApADsAXABuAFwAbgBWAEUARQBSAEcAXwA0AF8ANgBfADEAXwA3AF8AXwAyAF8ATQBhAHMAcwBPAGYATgBpAHQAcgBvAGcAZQBuAEwAbwBzAHQAVABvAEwAZQBhAGMAaABpAG4AZwBBAG4AZABSAHUAbgBvAGYAZgBGAHIAbwBtAFMAbwBsAGkAZABTAHQAbwByAGEAZwBlAF8AVQBuAGkAdABcAG4AIAAgAD0ATABBAE0AQgBEAEEAKABcACIAawBnACAATgBcACIAKQA7AFwAbgBcAG4AVgBFAEUAUgBHAF8ANABfADYAXwAxAF8ANwBfAF8AMgBfAE0AYQBzAHMATwBmAE4AaQB0AHIAbwBnAGUAbgBMAG8AcwB0AFQAbwBMAGUAYQBjAGgAaQBuAGcAQQBuAGQAUgB1AG4AbwBmAGYARgByAG8AbQBTAG8AbABpAGQAUwB0AG8AcgBhAGcAZQBfAFMAbwB1AHIAYwBlAFwAbgAgACAAPQBMAEEATQBCAEQAQQAoAFwAIgBWAEUARQBSAEcAIAAyADAAMgA2ADoAIAA0AC4ANgAuADEALgA3ACwAIABFAHEAdQBhAHQAaQBvAG4AIAAoADIAKQBcACIAKQA7AFwAbgBcAG4AVgBFAEUAUgBHAF8ANABfADYAXwAxAF8ANwBfAF8AMgBfAE0AYQBzAHMATwBmAE4AaQB0AHIAbwBnAGUAbgBMAG8AcwB0AFQAbwBMAGUAYQBjAGgAaQBuAGcAQQBuAGQAUgB1AG4AbwBmAGYARgByAG8AbQBTAG8AbABpAGQAUwB0AG8AcgBhAGcAZQBfAE4ASQBSAFIAZQBmAGUAcgBlAG4AYwBlAFwAbgAgACAAPQBMAEEATQBCAEQAQQAoAFwAIgBcACIAKQA7AFwAbgBcAG4AVgBFAEUAUgBHAF8ANABfADYAXwAxAF8ANwBfAF8AMgBfAE0AYQBzAHMATwBmAE4AaQB0AHIAbwBnAGUAbgBMAG8AcwB0AFQAbwBMAGUAYQBjAGgAaQBuAGcAQQBuAGQAUgB1AG4AbwBmAGYARgByAG8AbQBTAG8AbABpAGQAUwB0AG8AcgBhAGcAZQBfAEwAYQB0AGUAeABFAHEAdQBhAHQAaQBvAG4AXABuACAAIAA9AEwAQQBNAEIARABBACgAXAAiAE0ATgBMAGUAYQBjAGgAXwB7AGoAawBtAD0ANAB9AD0ATQBOAF8AewBqAGsAbQA9ADQALABUAD0AMgB9AFwAXAB0AGkAbQBlAHMAIABGAHIAYQBjAFcARQBUAFwAXAB0AGkAbQBlAHMAIABGAHIAYQBjAEwARQBBAEMASABfAHsATQBTAH0AXAAiACkAOwBcAG4AXABuAFYARQBFAFIARwBfADQAXwA2AF8AMQBfADc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rAG0ANABUADIAXAAiACwAXAAiAG4AaQB0AHIAbwBnAGUAbgAgAGkAbgAgAHMAbwBsAGkAZAAgAHMAdABvAHIAYQBnAGUAIABNAE0AUwAgAHQAcgBlAGEAdABtAGUAbgB0ACAAcwB0AGEAZwBlACAAMgBcACIALAAgAFwAIgBrAGcAIABOAFwAIgAsACAAXAAiAEMAYQBsAGMAdQBsAGEAdABlAGQAIABmAHIAbwBtACAANAAuADYALgAxAC4AMwAgACgANgApAFwAIgA7AFwAbgAgACAAIAAgACAAIAAgACAAIAAgAFwAIgBGAHIAYQBjAFcARQBU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FAAbwB1AGwAdA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QBfAE0AYQBzAHMATwBmAE4AaQB0AHIAbwBnAGUAbgBBAHAAcABsAGkAZQBkAFQAbwBTAG8AaQBsAHMAUwBjAG8AcABlADE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BQAEYAXABuACAAIAApADsAXABuAFwAbgBWAEUARQBSAEcAXwA0AF8ANg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YAXwAxAF8AOQBfAF8AMQBfAE0AYQBzAHMATwBmAE4AaQB0AHIAbwBnAGUAbgBBAHAAcABsAGkAZQBkAFQAbwBTAG8AaQBsAHMAUwBjAG8AcABlADEAXwBWAGEAcgBpAGEAYgBsAGUAXABuACAAIAA9AEwAQQBNAEIARABBACgAXAAiAE0ATgBTAG8AaQBsAF8AcwBjAG8AcABlADEAXAAiACkAOwBcAG4AXABuAFYARQBFAFIARwBfADQAXwA2AF8AMQBfADkAXwBfADEAXwBNAGEAcwBzAE8AZgBOAGkAdAByAG8AZwBlAG4AQQBwAHAAbABpAGUAZABUAG8AUwBvAGkAbABzAFMAYwBvAHAAZQAxAF8AVQBuAGkAdABcAG4AIAAgAD0ATABBAE0AQgBEAEEAKABcACIAawBnACAATgBcACIAKQA7AFwAbgBcAG4AVgBFAEUAUgBHAF8ANABfADYAXwAxAF8AOQBfAF8AMQBfAE0AYQBzAHMATwBmAE4AaQB0AHIAbwBnAGUAbgBBAHAAcABsAGkAZQBkAFQAbwBTAG8AaQBsAHMAUwBjAG8AcABlADEAXwBTAG8AdQByAGMAZQBcAG4AIAAgAD0ATABBAE0AQgBEAEEAKABcACIAVgBFAEUAUgBHACAAMgAwADIANgA6ACAANAAuADYALgAxAC4AOQAsACAARQBxAHUAYQB0AGkAbwBuACAAKAAxACkAXAAiACkAOwBcAG4AXABuAFYARQBFAFIARwBfADQAXwA2AF8AMQBfADkAXwBfADEAXwBNAGEAcwBzAE8AZgBOAGkAdAByAG8AZwBlAG4AQQBwAHAAbABpAGUAZABUAG8AUwBvAGkAbABzAFMAYwBvAHAAZQAxAF8ATgBJAFIAUgBlAGYAZQByAGUAbgBjAGUAXABuACAAIAA9AEwAQQBNAEIARABBACgAXAAiAFwAIgApADsAXABuAFwAbgBWAEUARQBSAEcAXwA0AF8ANg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CIAKQA7AFwAbgBcAG4AVgBFAEUAUgBHAF8ANABfADY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IAXwBNAGEAcwBzAE8AZgBOAGkAdAByAG8AZwBlAG4AQQBwAHAAbABpAGUAZABUAG8AUwBvAGkAbABzAFMAYwBvAHAAZQAz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KAAxACAALQAgAFAARgApAFwAbgAgACAAKQA7AFwAbgBcAG4AVgBFAEUAUgBHAF8ANABfADY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2AF8AMQBfADkAXwBfADIAXwBNAGEAcwBzAE8AZgBOAGkAdAByAG8AZwBlAG4AQQBwAHAAbABpAGUAZABUAG8AUwBvAGkAbABzAFMAYwBvAHAAZQAzAF8AVgBhAHIAaQBhAGIAbABlAFwAbgAgACAAPQBMAEEATQBCAEQAQQAoAFwAIgBNAE4AUwBvAGkAbABfAHMAYwBvAHAAZQAzAFwAIgApADsAXABuAFwAbgBWAEUARQBSAEcAXwA0AF8ANgBfADEAXwA5AF8AXwAyAF8ATQBhAHMAcwBPAGYATgBpAHQAcgBvAGcAZQBuAEEAcABwAGwAaQBlAGQAVABvAFMAbwBpAGwAcwBTAGMAbwBwAGUAMwBfAFUAbgBpAHQAXABuACAAIAA9AEwAQQBNAEIARABBACgAXAAiAGsAZwAgAE4AXAAiACkAOwBcAG4AXABuAFYARQBFAFIARwBfADQAXwA2AF8AMQBfADkAXwBfADIAXwBNAGEAcwBzAE8AZgBOAGkAdAByAG8AZwBlAG4AQQBwAHAAbABpAGUAZABUAG8AUwBvAGkAbABzAFMAYwBvAHAAZQAzAF8AUwBvAHUAcgBjAGUAXABuACAAIAA9AEwAQQBNAEIARABBACgAXAAiAFYARQBFAFIARwAgADIAMAAyADYAOgAgADQALgA2AC4AMQAuADkALAAgAEUAcQB1AGEAdABpAG8AbgAgACgAMgApAFwAIgApADsAXABuAFwAbgBWAEUARQBSAEcAXwA0AF8ANgBfADEAXwA5AF8AXwAyAF8ATQBhAHMAcwBPAGYATgBpAHQAcgBvAGcAZQBuAEEAcABwAGwAaQBlAGQAVABvAFMAbwBpAGwAcwBTAGMAbwBwAGUAMwBfAE4ASQBSAFIAZQBmAGUAcgBlAG4AYwBlAFwAbgAgACAAPQBMAEEATQBCAEQAQQAoAFwAIgBcACIAKQA7AFwAbgBcAG4AVgBFAEUAUgBHAF8ANABfADY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AiACkAOwBcAG4AXABuAFYARQBFAFIARwBfADQAXwA2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wACAATQBlAHQAaABvAGQAIAAxACAALQAgAFMAbwBpAGw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ABfAF8AMQBfAEQAaQByAGUAYwB0AE4AaQB0AHIAbwB1AHMATwB4AGkAZABlAEUAbQBpAHMAcwBpAG8AbgBzAEYAcgBvAG0AUABvAHUAbAB0AHIAeQBNAGEAbgB1AHIAZQBcAG4ARABpAHIAZQBjAHQAIABuAGkAdAByAG8AdQBzACAAbwB4AGkAZABlACAAZQBtAGkAcwBzAGkAbwBuAHMAIABmAHIAbwBtACAAcABvAHUAbAB0AHIAeQAgAG0AYQBuAHUAcgBlACAAbwBuACAAcABhAHMAdAB1AHIAZQBcAG4ARQBNAF8ATgAyAE8AUABSAFAAZABpAHIAXABuAHQAIABOADIATwBcAG4ARQBNAF8AewBOADIATwAsAFAAUgBQACwAZABpAHIAfQA9AFwAXABzAHUAbQBfAHsAagB9AFwAXABzAHUAbQBfAHsAawB9ACgATQBOAF8AewBqAGsAbQA9ADEANAAsAFQAPQAxAH0AXABcAHQAaQBtAGUAcwAgAEUARgBfAHsAUABSAFAAfQBcAFwAdABpAG0AZQBzACAAQwBfAHsATgAyAE8AfQApAFwAXAB0AGkAbQBlAHMAIAAxADAAXgB7AC0AMwB9AFwAbgBNAE4AXwBqAGsAbQAxADQAVAAxACAAPQAgAG0AYQBzAHMAIABvAGYAIABuAGkAdAByAG8AZwBlAG4AIABlAHgAYwByAGUAdABlAGQAIABkAGkAcgBlAGMAdABsAHkAIABvAG4AIABwAGEAcwB0AHUAcgBlACAAYgB5ACAAcABvAHUAbAB0AHIAeQAgAGMAbABhAHMAcwAgAGEAbgBkACAAcwB1AGIAYwBsAGEAcwBzACAAKABrAGcAIABOACkAXABuAEUARgBfAFAAUgBQACAAPQAgAG4AaQB0AHIAbwB1AHMAIABvAHgAaQBkAGUAIABlAG0AaQBzAHMAaQBvAG4AIABmAGEAYwB0AG8AcgAgAGYAbwByACAAbQBhAG4AdQByAGUAIABkAGUAcABvAHMAaQB0AGUAZAAgAG8AbgAgAHAAYQBzAHQAdQByAGU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wAF8AXwAxAF8ARABpAHIAZQBjAHQATgBpAHQAcgBvAHUAcwBPAHgAaQBkAGUARQBtAGkAcwBzAGkAbwBuAHMARgByAG8AbQBQAG8AdQBsAHQAcgB5AE0AYQBuAHUAcgBlAFwAbgAgACAAPQBMAEEATQBCAEQAQQAoAFwAbgAgACAAIAAgAE0ATgBfAGoAawBtADEANABUADEALAAgAEUARgBfAFAAUgBQACwAIABDAF8ATgAyAE8ALABcAG4AIAAgACAAIABNAE4AXwBqAGsAbQAxADQAVAAxACAAKgAgAEUARgBfAFAAUgBQACAAKgAgAEMAXwBOADIATwAgACoAIAAxADAAIABeACAALQAzAFwAbgAgACAAKQA7AFwAbgBcAG4AVgBFAEUAUgBHAF8ANABfADYAXwAxAF8AMQAwAF8AXwAxAF8ARABpAHIAZQBjAHQATgBpAHQAcgBvAHUAcwBPAHgAaQBkAGUARQBtAGkAcwBzAGkAbwBuAHMARgByAG8AbQBQAG8AdQBsAHQAcgB5AE0AYQBuAHUAcgBlAF8AVABpAHQAbABlAFwAbgAgACAAPQBMAEEATQBCAEQAQQAoAFwAIgBEAGkAcgBlAGMAdAAgAG4AaQB0AHIAbwB1AHMAIABvAHgAaQBkAGUAIABlAG0AaQBzAHMAaQBvAG4AcwAgAGYAcgBvAG0AIABwAG8AdQBsAHQAcgB5ACAAbQBhAG4AdQByAGUAIABvAG4AIABwAGEAcwB0AHUAcgBlAFwAIgApADsAXABuAFwAbgBWAEUARQBSAEcAXwA0AF8ANgBfADEAXwAxADAAXwBfADEAXwBEAGkAcgBlAGMAdABOAGkAdAByAG8AdQBzAE8AeABpAGQAZQBFAG0AaQBzAHMAaQBvAG4AcwBGAHIAbwBtAFAAbwB1AGwAdAByAHkATQBhAG4AdQByAGUAXwBWAGEAcgBpAGEAYgBsAGUAXABuACAAIAA9AEwAQQBNAEIARABBACgAXAAiAEUATQBfAE4AMgBPAFAAUgBQAGQAaQByAFwAIgApADsAXABuAFwAbgBWAEUARQBSAEcAXwA0AF8ANgBfADEAXwAxADAAXwBfADEAXwBEAGkAcgBlAGMAdABOAGkAdAByAG8AdQBzAE8AeABpAGQAZQBFAG0AaQBzAHMAaQBvAG4AcwBGAHIAbwBtAFAAbwB1AGwAdAByAHkATQBhAG4AdQByAGUAXwBVAG4AaQB0AFwAbgAgACAAPQBMAEEATQBCAEQAQQAoAFwAIgB0ACAATgAyAE8AXAAiACkAOwBcAG4AXABuAFYARQBFAFIARwBfADQAXwA2AF8AMQBfADEAMABfAF8AMQBfAEQAaQByAGUAYwB0AE4AaQB0AHIAbwB1AHMATwB4AGkAZABlAEUAbQBpAHMAcwBpAG8AbgBzAEYAcgBvAG0AUABvAHUAbAB0AHIAeQBNAGEAbgB1AHIAZQBfAFMAbwB1AHIAYwBlAFwAbgAgACAAPQBMAEEATQBCAEQAQQAoAFwAIgBWAEUARQBSAEcAIAAyADAAMgA2ADoAIAA0AC4ANgAuADEALgAxADAALAAgAEUAcQB1AGEAdABpAG8AbgAgACgAMQApAFwAIgApADsAXABuAFwAbgBWAEUARQBSAEcAXwA0AF8ANgBfADEAXwAxADAAXwBfADEAXwBEAGkAcgBlAGMAdABOAGkAdAByAG8AdQBzAE8AeABpAGQAZQBFAG0AaQBzAHMAaQBvAG4AcwBGAHIAbwBtAFAAbwB1AGwAdAByAHkATQBhAG4AdQByAGUAXwBOAEkAUgBSAGUAZgBlAHIAZQBuAGMAZQBcAG4AIAAgAD0ATABBAE0AQgBEAEEAKABcACIAXAAiACkAOwBcAG4AXABuAFYARQBFAFIARwBfADQAXwA2AF8AMQBfADEAMABfAF8AMQBfAEQAaQByAGUAYwB0AE4AaQB0AHIAbwB1AHMATwB4AGkAZABlAEUAbQBpAHMAcwBpAG8AbgBzAEYAcgBvAG0AUABvAHUAbAB0AHIAeQBNAGEAbgB1AHIAZQBfAEwAYQB0AGUAeABFAHEAdQBhAHQAaQBvAG4AXABuACAAIAA9AEwAQQBNAEIARABBACgAXAAiAEUATQBfAHsATgAyAE8ALABQAFIAUAAsAGQAaQByAH0APQBcAFwAcwB1AG0AXwB7AGoAfQBcAFwAcwB1AG0AXwB7AGsAfQAoAE0ATgBfAHsAagBrAG0APQAxADQALABUAD0AMQB9AFwAXAB0AGkAbQBlAHMAIABFAEYAXwB7AFAAUgBQAH0AXABcAHQAaQBtAGUAcwAgAEMAXwB7AE4AMgBPAH0AKQBcAFwAdABpAG0AZQBzACAAMQAwAF4AewAtADMAfQBcACIAKQA7AFwAbgBcAG4AVgBFAEUAUgBHAF8ANABfADYAXwAxAF8AMQAwAF8AXwAxAF8ARABpAHIAZQBjAHQATgBpAHQAcgBvAHUAcwBPAHgAaQBkAGUARQBtAGkAcwBzAGkAbwBuAHMARgByAG8AbQBQAG8AdQBsAHQAcgB5AE0AYQBuAHUAcgBlAF8AQQByAGcAdQBtAGUAbgB0AHMAXABuACAAIAA9AEwAQQBNAEIARABBACgAXABuACAAIAAgACAATQBBAEsARQBBAFIAUgBBAFkAKAAz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QBGAF8AUABSAFAAXAAiACwAIABcACIAbgBpAHQAcgBvAHUAcwAgAG8AeABpAGQAZQAgAGUAbQBpAHMAcwBpAG8AbgAgAGYAYQBjAHQAbwByACAAZgBvAHIAIABtAGEAbgB1AHIAZQAgAGQAZQBwAG8AcwBpAHQAZQBkACAAbwBuACAAcABhAHMAdAB1AHIAZQ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IgB9ACwAewAiAHAAYQB0AGgAIgA6ACIALwBwAHIAbwBqAGUAYwB0AHMALwBNAE0AUwBfAFAAbwB1AGwAdA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gAgAE0AZQB0AGgAbwBkACAAMQAgAC0AIABTAG8AaQBsACAAQQB0AG0AbwBzAHAAaABlAHIAaQBjACAARABlAHAAbwBzAGkAdABpAG8Ab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gBfAF8AMQBfAEEAdABtAG8AcwBwAGgAZQByAGkAYwBEAGUAcABvAHMAaQB0AGkAbwBuAEUAbQBpAHMAcwBpAG8AbgBzAEYAcgBvAG0AUABvAHUAbAB0AHIAeQBNAGEAbgB1AHIAZQBPAG4AUABhAHMAdAB1AHIAZQBcAG4AQQB0AG0AbwBzAHAAaABlAHIAaQBjACAAZABlAHAAbwBzAGkAdABpAG8AbgAgAGUAbQBpAHMAcwBpAG8AbgBzACAAZgByAG8AbQAgAHAAbwB1AGwAdAByAHkAIABtAGEAbgB1AHIAZQ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tAGEAbgB1AHIAZQAgAGQAZQBwAG8AcwBpAHQAZQBkACAAbwBuACAAcABhAHMAdAB1AHIAZQAgACgAawBnACAATgApAFwAbgBFAEYAXwBOADIATwAgAD0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yAF8AXwAxAF8AQQB0AG0AbwBzAHAAaABlAHIAaQBjAEQAZQBwAG8AcwBpAHQAaQBvAG4ARQBtAGkAcwBzAGkAbwBuAHMARgByAG8AbQBQAG8AdQBsAHQAcgB5AE0AYQBuAHUAcgBl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NgBfADEAXwAxADIAXwBfADEAXwBBAHQAbQBvAHMAcABoAGUAcgBpAGMARABlAHAAbwBzAGkAdABpAG8AbgBFAG0AaQBzAHMAaQBvAG4AcwBGAHIAbwBtAFAAbwB1AGwAdAByAHkATQBhAG4AdQByAGUATwBuAFAAYQBzAHQAdQByAGUAXwBUAGkAdABsAGUAXABuACAAIAA9AEwAQQBNAEIARABBACgAXAAiAEEAdABtAG8AcwBwAGgAZQByAGkAYwAgAGQAZQBwAG8AcwBpAHQAaQBvAG4AIABlAG0AaQBzAHMAaQBvAG4AcwAgAGYAcgBvAG0AIABwAG8AdQBsAHQAcgB5ACAAbQBhAG4AdQByAGUAIABkAGUAcABvAHMAaQB0AGUAZAAgAG8AbgAgAHAAYQBzAHQAdQByAGUAXAAiACkAOwBcAG4AXABuAFYARQBFAFIARwBfADQAXwA2AF8AMQBfADEAMgBfAF8AMQBfAEEAdABtAG8AcwBwAGgAZQByAGkAYwBEAGUAcABvAHMAaQB0AGkAbwBuAEUAbQBpAHMAcwBpAG8AbgBzAEYAcgBvAG0AUABvAHUAbAB0AHIAeQBNAGEAbgB1AHIAZQBPAG4AUABhAHMAdAB1AHIAZQBfAFYAYQByAGkAYQBiAGwAZQBcAG4AIAAgAD0ATABBAE0AQgBEAEEAKABcACIARQBfAE4AMgBPAGEAZABcACIAKQA7AFwAbgBcAG4AVgBFAEUAUgBHAF8ANABfADYAXwAxAF8AMQAyAF8AXwAxAF8AQQB0AG0AbwBzAHAAaABlAHIAaQBjAEQAZQBwAG8AcwBpAHQAaQBvAG4ARQBtAGkAcwBzAGkAbwBuAHMARgByAG8AbQBQAG8AdQBsAHQAcgB5AE0AYQBuAHUAcgBlAE8AbgBQAGEAcwB0AHUAcgBlAF8AVQBuAGkAdABcAG4AIAAgAD0ATABBAE0AQgBEAEEAKABcACIAdAAgAE4AMgBPAFwAIgApADsAXABuAFwAbgBWAEUARQBSAEcAXwA0AF8ANgBfADEAXwAxADIAXwBfADEAXwBBAHQAbQBvAHMAcABoAGUAcgBpAGMARABlAHAAbwBzAGkAdABpAG8AbgBFAG0AaQBzAHMAaQBvAG4AcwBGAHIAbwBtAFAAbwB1AGwAdAByAHkATQBhAG4AdQByAGUATwBuAFAAYQBzAHQAdQByAGUAXwBTAG8AdQByAGMAZQBcAG4AIAAgAD0ATABBAE0AQgBEAEEAKABcACIAVgBFAEUAUgBHACAAMgAwADIANgA6ACAANAAuADYALgAxAC4AMQAyACwAIABFAHEAdQBhAHQAaQBvAG4AIAAoADEAKQBcACIAKQA7AFwAbgBcAG4AVgBFAEUAUgBHAF8ANABfADYAXwAxAF8AMQAyAF8AXwAxAF8AQQB0AG0AbwBzAHAAaABlAHIAaQBjAEQAZQBwAG8AcwBpAHQAaQBvAG4ARQBtAGkAcwBzAGkAbwBuAHMARgByAG8AbQBQAG8AdQBsAHQAcgB5AE0AYQBuAHUAcgBlAE8AbgBQAGEAcwB0AHUAcgBlAF8ATgBJAFIAUgBlAGYAZQByAGUAbgBjAGUAXABuACAAIAA9AEwAQQBNAEIARABBACgAXAAiAFwAIgApADsAXABuAFwAbgBWAEUARQBSAEcAXwA0AF8ANgBfADEAXwAxADIAXwBfADEAXwBBAHQAbQBvAHMAcABoAGUAcgBpAGMARABlAHAAbwBzAGkAdABpAG8AbgBFAG0AaQBzAHMAaQBvAG4AcwBGAHIAbwBtAFAAbwB1AGwAdAByAHkATQBhAG4AdQByAGU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YAXwAxAF8AMQAyAF8AXwAxAF8AQQB0AG0AbwBzAHAAaABlAHIAaQBjAEQAZQBwAG8AcwBpAHQAaQBvAG4ARQBtAGkAcwBzAGkAbwBuAHM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bQBhAG4AdQByAGUAIABkAGUAcABvAHMAaQB0AGUAZAAgAG8AbgAgAHAAYQBzAHQAdQByAGUAXAAiACwAXAAiAGsAZwAgAE4AXAAiACwAIABcACIAQwBhAGwAYwB1AGwAYQB0AGUAZAAgAGYAcgBvAG0AIAA0AC4ANgAuADEALgAxADIAIAAoADIAKQBcACIAOwBcAG4AIAAgACAAIAAgACAAIAAgACAAIABcACIARQBGAF8ATgAyAE8AXAAiACwAIABcACIAZQBtAGkAcwBzAGkAbwBuACAAZgBhAGMAdABvAHIAIABmAG8AcgAgAGEAdABtAG8AcwBwAGgAZQByAGkAYwAgAGQAZQBwAG8AcwBpAHQAaQBvAG4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RwBBAFMATQBzAG8AaQBsAFwAIgAsACAAXAAiAGYAcgBhAGMAdABpAG8AbgAgAG8AZgAgAG4AaQB0AHIAbwBnAGUAbgAgAHYAbwBsAGEAdABpAGwAaQBzAGUAZAAgAGYAcgBvAG0AIABtAGEAbgB1AHIAZQ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FMAbwBpAGw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NAAgAE0AZQB0AGgAbwBkACAAMQAgAC0AIABTAG8AaQBsACAATABlAGEAYwBoAGkAbgBnACAAQ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NABfAF8AMQBfAEwAZQBhAGMAaABpAG4AZwBBAG4AZABSAHUAbgBvAGYAZgBFAG0AaQBzAHMAaQBvAG4AcwBGAHIAbwBtAFAAbwB1AGwAdAByAHkATQBhAG4AdQByAGUATwBuAFAAYQBzAHQAdQByAGUAXABuAEwAZQBhAGMAaABpAG4AZwAgAGEAbgBkACAAcgB1AG4AbwBmAGYAIABlAG0AaQBzAHMAaQBvAG4AcwAgAGYAcgBvAG0AIABwAG8AdQBsAHQAcgB5ACAAbQBhAG4AdQByAGU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wAG8AdQBsAHQAcgB5ACAAbQBhAG4AdQByAGUAIABkAGUAcABvAHMAaQB0AGUAZAAgAG8AbgAgAHAAYQBzAHQAdQByAGU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QAXwBfADEAXwBMAGUAYQBjAGgAaQBuAGcAQQBuAGQAUgB1AG4AbwBmAGYARQBtAGkAcwBzAGkAbwBuAHMARgByAG8AbQBQAG8AdQBsAHQAcgB5AE0AYQBuAHUAcgBl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YAXwAxAF8AMQA0AF8AXwAxAF8ATABlAGEAYwBoAGkAbgBnAEEAbgBkAFIAdQBuAG8AZgBmAEUAbQBpAHMAcwBpAG8AbgBzAEYAcgBvAG0AUABvAHUAbAB0AHIAeQBNAGEAbgB1AHIAZQBPAG4AUABhAHMAdAB1AHIAZQBfAFQAaQB0AGwAZQBcAG4AIAAgAD0ATABBAE0AQgBEAEEAKABcACIATABlAGEAYwBoAGkAbgBnACAAYQBuAGQAIAByAHUAbgBvAGYAZgAgAGUAbQBpAHMAcwBpAG8AbgBzACAAZgByAG8AbQAgAHAAbwB1AGwAdAByAHkAIABtAGEAbgB1AHIAZQAgAGQAZQBwAG8AcwBpAHQAZQBkACAAbwBuACAAcABhAHMAdAB1AHIAZQBcACIAKQA7AFwAbgBcAG4AVgBFAEUAUgBHAF8ANABfADYAXwAxAF8AMQA0AF8AXwAxAF8ATABlAGEAYwBoAGkAbgBnAEEAbgBkAFIAdQBuAG8AZgBmAEUAbQBpAHMAcwBpAG8AbgBzAEYAcgBvAG0AUABvAHUAbAB0AHIAeQBNAGEAbgB1AHIAZQBPAG4AUABhAHMAdAB1AHIAZQBfAFYAYQByAGkAYQBiAGwAZQBcAG4AIAAgAD0ATABBAE0AQgBEAEEAKABcACIARQBfAE4AMgBPAGwAZQBhAGMAaABcACIAKQA7AFwAbgBcAG4AVgBFAEUAUgBHAF8ANABfADYAXwAxAF8AMQA0AF8AXwAxAF8ATABlAGEAYwBoAGkAbgBnAEEAbgBkAFIAdQBuAG8AZgBmAEUAbQBpAHMAcwBpAG8AbgBzAEYAcgBvAG0AUABvAHUAbAB0AHIAeQBNAGEAbgB1AHIAZQBPAG4AUABhAHMAdAB1AHIAZQBfAFUAbgBpAHQAXABuACAAIAA9AEwAQQBNAEIARABBACgAXAAiAHQAIABOADIATwBcACIAKQA7AFwAbgBcAG4AVgBFAEUAUgBHAF8ANABfADYAXwAxAF8AMQA0AF8AXwAxAF8ATABlAGEAYwBoAGkAbgBnAEEAbgBkAFIAdQBuAG8AZgBmAEUAbQBpAHMAcwBpAG8AbgBzAEYAcgBvAG0AUABvAHUAbAB0AHIAeQBNAGEAbgB1AHIAZQBPAG4AUABhAHMAdAB1AHIAZQBfAFMAbwB1AHIAYwBlAFwAbgAgACAAPQBMAEEATQBCAEQAQQAoAFwAIgBWAEUARQBSAEcAIAAyADAAMgA2ADoAIAA0AC4ANgAuADEALgAxADQALAAgAEUAcQB1AGEAdABpAG8AbgAgACgAMQApAFwAIgApADsAXABuAFwAbgBWAEUARQBSAEcAXwA0AF8ANgBfADEAXwAxADQAXwBfADEAXwBMAGUAYQBjAGgAaQBuAGcAQQBuAGQAUgB1AG4AbwBmAGYARQBtAGkAcwBzAGkAbwBuAHMARgByAG8AbQBQAG8AdQBsAHQAcgB5AE0AYQBuAHUAcgBlAE8AbgBQAGEAcwB0AHUAcgBlAF8ATgBJAFIAUgBlAGYAZQByAGUAbgBjAGUAXABuACAAIAA9AEwAQQBNAEIARABBACgAXAAiAFwAIgApADsAXABuAFwAbgBWAEUARQBSAEcAXwA0AF8ANgBfADEAXwAxADQAXwBfADEAXwBMAGUAYQBjAGgAaQBuAGcAQQBuAGQAUgB1AG4AbwBmAGYARQBtAGkAcwBzAGkAbwBuAHMARgByAG8AbQBQAG8AdQBsAHQAcgB5AE0AYQBuAHUAcgBl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YAXwAxAF8AMQA0AF8AXwAxAF8ATABlAGEAYwBoAGkAbgBnAEEAbgBkAFIAdQBuAG8AZgBmAEUAbQBpAHMAcwBpAG8AbgBzAEYAcgBvAG0AUABvAHUAbAB0AHIAeQBNAGEAbgB1AHIAZQ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AAbwB1AGwAdAByAHkAIABtAGEAbgB1AHIAZQAgAGQAZQBwAG8AcwBpAHQAZQBkACAAbwBuACAAcABhAHMAdAB1AHIAZQBcACIALABcACIAawBnACAATgBcACIALAAgAFwAIgBDAGEAbABjAHUAbABhAHQAZQBkACAAZgByAG8AbQAgADQALgA2AC4AMQAuADEANAAgACgAMgApAFwAIgA7AFwAbgAgACAAIAAgACAAIAAgACAAIAAgAFwAIgBFAEYAXwBsAGUAYQBjAGgAXAAiACwAIABcACIAZQBtAGkAcwBzAGkAbwBuACAAZgBhAGMAdABvAHIAIABmAG8AcgAgAGwAZQBhAGMAaABpAG4AZwAgAGEAbgBkACAAcgB1AG4AbwBmAGY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1ACwAIAAy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285</vt:i4>
      </vt:variant>
    </vt:vector>
  </HeadingPairs>
  <TitlesOfParts>
    <vt:vector size="331" baseType="lpstr">
      <vt:lpstr>Home</vt:lpstr>
      <vt:lpstr>Results - Activity period</vt:lpstr>
      <vt:lpstr>Results - Product EI</vt:lpstr>
      <vt:lpstr>Input - Enterprise</vt:lpstr>
      <vt:lpstr>Input - Site</vt:lpstr>
      <vt:lpstr>Input - Poultry</vt:lpstr>
      <vt:lpstr>Input - Livestock sales</vt:lpstr>
      <vt:lpstr>Input - Poultry purchases</vt:lpstr>
      <vt:lpstr>Input - Fuel</vt:lpstr>
      <vt:lpstr>Input - Electricity</vt:lpstr>
      <vt:lpstr>Input - Common farm inputs</vt:lpstr>
      <vt:lpstr>Input - Livestock farm Inputs</vt:lpstr>
      <vt:lpstr>Input - Freight</vt:lpstr>
      <vt:lpstr>Input - Solid waste</vt:lpstr>
      <vt:lpstr>Input - Manure sent off-site</vt:lpstr>
      <vt:lpstr>Input - Data quality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8.1.1.1-2 Transport fuel</vt:lpstr>
      <vt:lpstr>8.2.1.1-2 Stationary fuel</vt:lpstr>
      <vt:lpstr>10.1.1-2 Solid waste treatment</vt:lpstr>
      <vt:lpstr>14.1.1-2 Purchased electricity</vt:lpstr>
      <vt:lpstr>15 Scope 3</vt:lpstr>
      <vt:lpstr>Calcs - Manure sent off-site</vt:lpstr>
      <vt:lpstr>Constants - Poultry</vt:lpstr>
      <vt:lpstr>Constants - Common livestock</vt:lpstr>
      <vt:lpstr>Constants - Electricity</vt:lpstr>
      <vt:lpstr>Constants - Fertiliser</vt:lpstr>
      <vt:lpstr>Constants - Fuel</vt:lpstr>
      <vt:lpstr>Constants - Scope 3</vt:lpstr>
      <vt:lpstr>Constants - Solid Waste</vt:lpstr>
      <vt:lpstr>Constants - Common</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M1_Table_AE_j_k</vt:lpstr>
      <vt:lpstr>M1_Table_CP_j_k</vt:lpstr>
      <vt:lpstr>M1_Table_DMD_j_k</vt:lpstr>
      <vt:lpstr>M1_Table_E_CO2</vt:lpstr>
      <vt:lpstr>M1_Table_E_N2O</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M2_Table_FertApplications</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SourceData_Poultry_FracGAMSSoil_Data</vt:lpstr>
      <vt:lpstr>SourceData_Poultry_FractionOfNitrogenLostThroughLeachingAndRunoff_Data</vt:lpstr>
      <vt:lpstr>Table_A_j</vt:lpstr>
      <vt:lpstr>Table_B_0_j</vt:lpstr>
      <vt:lpstr>Table_D_j_k</vt:lpstr>
      <vt:lpstr>Table_D_j_k_Consumer_1</vt:lpstr>
      <vt:lpstr>Table_E_ad_inorganic</vt:lpstr>
      <vt:lpstr>Table_E_ad_organic</vt:lpstr>
      <vt:lpstr>Table_E_g</vt:lpstr>
      <vt:lpstr>Table_E_g_Consumer_1</vt:lpstr>
      <vt:lpstr>Table_E_g_offsite</vt:lpstr>
      <vt:lpstr>Table_E_g_onsite</vt:lpstr>
      <vt:lpstr>Table_E_lime</vt:lpstr>
      <vt:lpstr>Table_EF_m</vt:lpstr>
      <vt:lpstr>Table_EF_m_Consumer_1</vt:lpstr>
      <vt:lpstr>Table_FracGASM_m_T</vt:lpstr>
      <vt:lpstr>Table_FracGASM_m_T_Consumer_1</vt:lpstr>
      <vt:lpstr>Table_FracGASM_m_T1</vt:lpstr>
      <vt:lpstr>Table_M_leach_inorganic_j</vt:lpstr>
      <vt:lpstr>Table_M_leach_organic_j</vt:lpstr>
      <vt:lpstr>Table_M_vol_inorganic_j_f</vt:lpstr>
      <vt:lpstr>Table_M_vol_organic_j_f</vt:lpstr>
      <vt:lpstr>Table_MMS_j_m_T1</vt:lpstr>
      <vt:lpstr>Table_MMS_j_m_T1_Consumer_1</vt:lpstr>
      <vt:lpstr>Table_MMS_j_m_T2</vt:lpstr>
      <vt:lpstr>Table_MMS_j_m_T2_Consumer_1</vt:lpstr>
      <vt:lpstr>Table_MN_j_f</vt:lpstr>
      <vt:lpstr>Table_MNSoil_j_f</vt:lpstr>
      <vt:lpstr>Table_MU_j_f</vt:lpstr>
      <vt:lpstr>Table_N_j_k</vt:lpstr>
      <vt:lpstr>Table_N_j_k_Consumer_1</vt:lpstr>
      <vt:lpstr>Table_NR_j_k</vt:lpstr>
      <vt:lpstr>Table_PF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X_Cell_Enterprise_BirdsSold</vt:lpstr>
      <vt:lpstr>X_Cell_Enterprise_EggsProduced</vt:lpstr>
      <vt:lpstr>X_Cell_Enterprise_ManureProduced</vt:lpstr>
      <vt:lpstr>X_Cell_Enterprise_PercentIncomeFromBirdsSold</vt:lpstr>
      <vt:lpstr>X_Cell_Enterprise_PercentIncomeFromEggsSold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X_Cell_Poultry_ManureAppliedIrrigationMethod</vt:lpstr>
      <vt:lpstr>X_Cell_Poultry_ManureAppliedProductionSystem</vt:lpstr>
      <vt:lpstr>X_Cell_Poultry_ProductionSystem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2026-09-03T12:21:55Z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2026-09-02T18:44:30; rename=True resize=True rowheights=True scope=all</vt:lpwstr>
  </property>
</Properties>
</file>